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bc\ldv\Documents\Лахтионов\ДОУ на 250 мест\отделка\тендер 1, 2, 3 этажи\"/>
    </mc:Choice>
  </mc:AlternateContent>
  <xr:revisionPtr revIDLastSave="0" documentId="13_ncr:1_{4CE8F079-642D-4843-8B12-3C8B54766D8F}" xr6:coauthVersionLast="47" xr6:coauthVersionMax="47" xr10:uidLastSave="{00000000-0000-0000-0000-000000000000}"/>
  <bookViews>
    <workbookView xWindow="-120" yWindow="-120" windowWidth="38640" windowHeight="23520" tabRatio="796" xr2:uid="{00000000-000D-0000-FFFF-FFFF00000000}"/>
  </bookViews>
  <sheets>
    <sheet name="ДОУ 6 кв" sheetId="6" r:id="rId1"/>
  </sheets>
  <definedNames>
    <definedName name="_xlnm.Print_Area" localSheetId="0">'ДОУ 6 кв'!$A$1:$AZ$81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49" i="6" l="1"/>
  <c r="AR66" i="6"/>
  <c r="AJ39" i="6"/>
  <c r="AH39" i="6"/>
  <c r="AF39" i="6"/>
  <c r="Y39" i="6"/>
  <c r="X39" i="6"/>
  <c r="H64" i="6"/>
  <c r="I64" i="6"/>
  <c r="J64" i="6"/>
  <c r="M64" i="6"/>
  <c r="N64" i="6"/>
  <c r="O64" i="6"/>
  <c r="R64" i="6"/>
  <c r="S64" i="6"/>
  <c r="T64" i="6"/>
  <c r="W64" i="6"/>
  <c r="X64" i="6"/>
  <c r="Y64" i="6"/>
  <c r="Z64" i="6"/>
  <c r="AA64" i="6"/>
  <c r="AB64" i="6"/>
  <c r="AC64" i="6"/>
  <c r="AD64" i="6"/>
  <c r="AE64" i="6"/>
  <c r="Y61" i="6"/>
  <c r="X61" i="6"/>
  <c r="W61" i="6"/>
  <c r="S61" i="6"/>
  <c r="R61" i="6"/>
  <c r="N61" i="6"/>
  <c r="M61" i="6"/>
  <c r="I61" i="6"/>
  <c r="H61" i="6"/>
  <c r="H62" i="6" s="1"/>
  <c r="D61" i="6"/>
  <c r="AE45" i="6"/>
  <c r="AA45" i="6"/>
  <c r="AR39" i="6" l="1"/>
  <c r="V78" i="6"/>
  <c r="Q78" i="6"/>
  <c r="L78" i="6"/>
  <c r="G78" i="6"/>
  <c r="W69" i="6"/>
  <c r="T69" i="6"/>
  <c r="S69" i="6"/>
  <c r="R69" i="6"/>
  <c r="O69" i="6"/>
  <c r="N69" i="6"/>
  <c r="I69" i="6"/>
  <c r="J69" i="6"/>
  <c r="M69" i="6"/>
  <c r="H69" i="6"/>
  <c r="D69" i="6"/>
  <c r="E69" i="6"/>
  <c r="AQ54" i="6"/>
  <c r="AQ55" i="6" s="1"/>
  <c r="AP54" i="6"/>
  <c r="AP55" i="6" s="1"/>
  <c r="AI54" i="6"/>
  <c r="AI55" i="6" s="1"/>
  <c r="AH54" i="6"/>
  <c r="AH55" i="6" s="1"/>
  <c r="AG54" i="6"/>
  <c r="AG55" i="6" s="1"/>
  <c r="AF54" i="6"/>
  <c r="AF55" i="6" s="1"/>
  <c r="AE54" i="6"/>
  <c r="AE56" i="6" s="1"/>
  <c r="AD54" i="6"/>
  <c r="AD55" i="6" s="1"/>
  <c r="AC54" i="6"/>
  <c r="AC55" i="6" s="1"/>
  <c r="AB54" i="6"/>
  <c r="AB55" i="6" s="1"/>
  <c r="AA54" i="6"/>
  <c r="AA55" i="6" s="1"/>
  <c r="Z54" i="6"/>
  <c r="Z55" i="6" s="1"/>
  <c r="Y54" i="6"/>
  <c r="Y55" i="6" s="1"/>
  <c r="X54" i="6"/>
  <c r="X55" i="6" s="1"/>
  <c r="W54" i="6"/>
  <c r="W55" i="6" s="1"/>
  <c r="T54" i="6"/>
  <c r="T55" i="6" s="1"/>
  <c r="S54" i="6"/>
  <c r="S56" i="6" s="1"/>
  <c r="R54" i="6"/>
  <c r="R56" i="6" s="1"/>
  <c r="O54" i="6"/>
  <c r="O55" i="6" s="1"/>
  <c r="N54" i="6"/>
  <c r="N56" i="6" s="1"/>
  <c r="M54" i="6"/>
  <c r="M56" i="6" s="1"/>
  <c r="J54" i="6"/>
  <c r="J56" i="6" s="1"/>
  <c r="I54" i="6"/>
  <c r="I56" i="6" s="1"/>
  <c r="H54" i="6"/>
  <c r="H55" i="6" s="1"/>
  <c r="E54" i="6"/>
  <c r="E55" i="6" s="1"/>
  <c r="D54" i="6"/>
  <c r="D55" i="6" s="1"/>
  <c r="AK59" i="6"/>
  <c r="AK54" i="6" s="1"/>
  <c r="AR71" i="6"/>
  <c r="AR70" i="6"/>
  <c r="AQ18" i="6"/>
  <c r="AQ17" i="6"/>
  <c r="AP18" i="6"/>
  <c r="AP17" i="6"/>
  <c r="AL68" i="6"/>
  <c r="AL58" i="6"/>
  <c r="AL55" i="6"/>
  <c r="AL57" i="6" s="1"/>
  <c r="AL53" i="6"/>
  <c r="AL34" i="6"/>
  <c r="AL33" i="6"/>
  <c r="AL32" i="6"/>
  <c r="AK64" i="6"/>
  <c r="AK65" i="6" s="1"/>
  <c r="AK23" i="6"/>
  <c r="AK22" i="6"/>
  <c r="AK21" i="6"/>
  <c r="AJ68" i="6"/>
  <c r="AJ58" i="6"/>
  <c r="AJ55" i="6"/>
  <c r="AJ57" i="6" s="1"/>
  <c r="AJ53" i="6"/>
  <c r="AR51" i="6"/>
  <c r="AJ38" i="6"/>
  <c r="AJ37" i="6"/>
  <c r="AI23" i="6"/>
  <c r="AI22" i="6"/>
  <c r="AI21" i="6"/>
  <c r="AH64" i="6"/>
  <c r="AH65" i="6" s="1"/>
  <c r="AH38" i="6"/>
  <c r="AH37" i="6"/>
  <c r="AG23" i="6"/>
  <c r="AG22" i="6"/>
  <c r="AG21" i="6"/>
  <c r="AF38" i="6"/>
  <c r="AF37" i="6"/>
  <c r="AE68" i="6"/>
  <c r="AE65" i="6"/>
  <c r="AE44" i="6"/>
  <c r="AE43" i="6"/>
  <c r="AE42" i="6"/>
  <c r="AD65" i="6"/>
  <c r="AD23" i="6"/>
  <c r="AD22" i="6"/>
  <c r="AD21" i="6"/>
  <c r="AC65" i="6"/>
  <c r="AC23" i="6"/>
  <c r="AC22" i="6"/>
  <c r="AC21" i="6"/>
  <c r="AB68" i="6"/>
  <c r="AB65" i="6"/>
  <c r="AB23" i="6"/>
  <c r="AB22" i="6"/>
  <c r="AB21" i="6"/>
  <c r="AA65" i="6"/>
  <c r="AA44" i="6"/>
  <c r="AA43" i="6"/>
  <c r="AA42" i="6"/>
  <c r="Z65" i="6"/>
  <c r="Z23" i="6"/>
  <c r="Z22" i="6"/>
  <c r="Z21" i="6"/>
  <c r="Y68" i="6"/>
  <c r="Y38" i="6"/>
  <c r="Y37" i="6"/>
  <c r="AR78" i="6" l="1"/>
  <c r="Y63" i="6"/>
  <c r="I55" i="6"/>
  <c r="X63" i="6"/>
  <c r="M55" i="6"/>
  <c r="N55" i="6"/>
  <c r="R55" i="6"/>
  <c r="Z56" i="6"/>
  <c r="AA56" i="6"/>
  <c r="AB56" i="6"/>
  <c r="AC56" i="6"/>
  <c r="D56" i="6"/>
  <c r="AD56" i="6"/>
  <c r="AE55" i="6"/>
  <c r="H56" i="6"/>
  <c r="AK55" i="6"/>
  <c r="AK56" i="6"/>
  <c r="E56" i="6"/>
  <c r="W56" i="6"/>
  <c r="S55" i="6"/>
  <c r="T56" i="6"/>
  <c r="O56" i="6"/>
  <c r="J55" i="6"/>
  <c r="AR44" i="6"/>
  <c r="AR45" i="6"/>
  <c r="X38" i="6"/>
  <c r="X37" i="6"/>
  <c r="W68" i="6"/>
  <c r="W65" i="6"/>
  <c r="W62" i="6"/>
  <c r="V68" i="6"/>
  <c r="V58" i="6"/>
  <c r="V55" i="6"/>
  <c r="V57" i="6" s="1"/>
  <c r="V53" i="6"/>
  <c r="F68" i="6"/>
  <c r="U68" i="6"/>
  <c r="U58" i="6"/>
  <c r="U55" i="6"/>
  <c r="U57" i="6" s="1"/>
  <c r="U53" i="6"/>
  <c r="T65" i="6"/>
  <c r="V34" i="6"/>
  <c r="V33" i="6"/>
  <c r="V32" i="6"/>
  <c r="U29" i="6"/>
  <c r="U28" i="6"/>
  <c r="U27" i="6"/>
  <c r="S65" i="6"/>
  <c r="R65" i="6"/>
  <c r="AR63" i="6" l="1"/>
  <c r="S62" i="6"/>
  <c r="R62" i="6"/>
  <c r="Q68" i="6" l="1"/>
  <c r="Q58" i="6"/>
  <c r="Q55" i="6"/>
  <c r="Q57" i="6" s="1"/>
  <c r="Q53" i="6"/>
  <c r="Q34" i="6"/>
  <c r="Q33" i="6"/>
  <c r="Q32" i="6"/>
  <c r="G68" i="6"/>
  <c r="K68" i="6"/>
  <c r="L68" i="6"/>
  <c r="P68" i="6"/>
  <c r="P58" i="6"/>
  <c r="P55" i="6"/>
  <c r="P57" i="6" s="1"/>
  <c r="P53" i="6"/>
  <c r="P29" i="6"/>
  <c r="P28" i="6"/>
  <c r="P27" i="6"/>
  <c r="O65" i="6"/>
  <c r="N65" i="6" l="1"/>
  <c r="M65" i="6"/>
  <c r="L58" i="6"/>
  <c r="L55" i="6"/>
  <c r="L57" i="6" s="1"/>
  <c r="L53" i="6"/>
  <c r="L34" i="6"/>
  <c r="L33" i="6"/>
  <c r="L32" i="6"/>
  <c r="K58" i="6"/>
  <c r="K55" i="6"/>
  <c r="K57" i="6" s="1"/>
  <c r="K53" i="6"/>
  <c r="K29" i="6"/>
  <c r="K28" i="6"/>
  <c r="K27" i="6"/>
  <c r="J65" i="6"/>
  <c r="I65" i="6"/>
  <c r="I62" i="6"/>
  <c r="M62" i="6" l="1"/>
  <c r="N62" i="6"/>
  <c r="H65" i="6"/>
  <c r="G55" i="6"/>
  <c r="G57" i="6" s="1"/>
  <c r="F53" i="6"/>
  <c r="G53" i="6"/>
  <c r="G58" i="6"/>
  <c r="G34" i="6"/>
  <c r="G33" i="6"/>
  <c r="G32" i="6"/>
  <c r="F55" i="6"/>
  <c r="F57" i="6" s="1"/>
  <c r="F58" i="6"/>
  <c r="E64" i="6"/>
  <c r="E65" i="6" s="1"/>
  <c r="D64" i="6"/>
  <c r="D65" i="6" s="1"/>
  <c r="F28" i="6"/>
  <c r="AR28" i="6" s="1"/>
  <c r="F29" i="6"/>
  <c r="F27" i="6"/>
  <c r="E20" i="6"/>
  <c r="H21" i="6"/>
  <c r="I21" i="6"/>
  <c r="J21" i="6"/>
  <c r="M21" i="6"/>
  <c r="N21" i="6"/>
  <c r="O21" i="6"/>
  <c r="R21" i="6"/>
  <c r="S21" i="6"/>
  <c r="T21" i="6"/>
  <c r="W21" i="6"/>
  <c r="H22" i="6"/>
  <c r="I22" i="6"/>
  <c r="J22" i="6"/>
  <c r="M22" i="6"/>
  <c r="N22" i="6"/>
  <c r="O22" i="6"/>
  <c r="R22" i="6"/>
  <c r="S22" i="6"/>
  <c r="T22" i="6"/>
  <c r="W22" i="6"/>
  <c r="H23" i="6"/>
  <c r="I23" i="6"/>
  <c r="J23" i="6"/>
  <c r="M23" i="6"/>
  <c r="N23" i="6"/>
  <c r="O23" i="6"/>
  <c r="R23" i="6"/>
  <c r="S23" i="6"/>
  <c r="T23" i="6"/>
  <c r="W23" i="6"/>
  <c r="D62" i="6" l="1"/>
  <c r="E21" i="6"/>
  <c r="E23" i="6"/>
  <c r="E22" i="6"/>
  <c r="D22" i="6"/>
  <c r="D23" i="6"/>
  <c r="D21" i="6"/>
  <c r="AR22" i="6" l="1"/>
  <c r="AR21" i="6"/>
  <c r="AR76" i="6"/>
  <c r="AR75" i="6"/>
  <c r="AR74" i="6"/>
  <c r="AR73" i="6"/>
  <c r="AR48" i="6"/>
  <c r="AR65" i="6" l="1"/>
  <c r="AR16" i="6"/>
  <c r="AR54" i="6"/>
  <c r="AR62" i="6"/>
  <c r="AR59" i="6"/>
  <c r="AR58" i="6"/>
  <c r="AR69" i="6"/>
  <c r="AR53" i="6" l="1"/>
  <c r="AR64" i="6"/>
  <c r="AR56" i="6"/>
  <c r="AR36" i="6"/>
  <c r="AR31" i="6"/>
  <c r="AR68" i="6"/>
  <c r="AR20" i="6"/>
  <c r="AR37" i="6"/>
  <c r="AR23" i="6"/>
  <c r="AR50" i="6"/>
  <c r="AR24" i="6"/>
  <c r="AR26" i="6"/>
  <c r="AR17" i="6"/>
  <c r="AR41" i="6"/>
  <c r="AR38" i="6"/>
  <c r="AR57" i="6"/>
  <c r="AR61" i="6"/>
  <c r="AR55" i="6" l="1"/>
  <c r="AR18" i="6"/>
  <c r="AR29" i="6"/>
  <c r="AR27" i="6"/>
  <c r="AR32" i="6"/>
  <c r="AR33" i="6" l="1"/>
  <c r="AR34" i="6"/>
  <c r="AR42" i="6"/>
  <c r="AR43" i="6" l="1"/>
</calcChain>
</file>

<file path=xl/sharedStrings.xml><?xml version="1.0" encoding="utf-8"?>
<sst xmlns="http://schemas.openxmlformats.org/spreadsheetml/2006/main" count="299" uniqueCount="212">
  <si>
    <t>ПОЛ</t>
  </si>
  <si>
    <t>Коридор</t>
  </si>
  <si>
    <t>м2</t>
  </si>
  <si>
    <t>мп</t>
  </si>
  <si>
    <t>СТЕНЫ</t>
  </si>
  <si>
    <t>шт.</t>
  </si>
  <si>
    <t>1.1</t>
  </si>
  <si>
    <t>1.2</t>
  </si>
  <si>
    <t>1.3</t>
  </si>
  <si>
    <t>1.4</t>
  </si>
  <si>
    <t>1.5</t>
  </si>
  <si>
    <t>1.6</t>
  </si>
  <si>
    <t>2</t>
  </si>
  <si>
    <t>2.1</t>
  </si>
  <si>
    <t>2.2</t>
  </si>
  <si>
    <t>2.3</t>
  </si>
  <si>
    <t>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</si>
  <si>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</si>
  <si>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</si>
  <si>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</si>
  <si>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</si>
  <si>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</si>
  <si>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</si>
  <si>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</si>
  <si>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</si>
  <si>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</si>
  <si>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</si>
  <si>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</si>
  <si>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</si>
  <si>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</si>
  <si>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</si>
  <si>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</si>
  <si>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</si>
  <si>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</si>
  <si>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</si>
  <si>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4</t>
  </si>
  <si>
    <t>4.1</t>
  </si>
  <si>
    <t>4.3</t>
  </si>
  <si>
    <t>4.4</t>
  </si>
  <si>
    <t>4.5</t>
  </si>
  <si>
    <t>4.6</t>
  </si>
  <si>
    <t>4.7</t>
  </si>
  <si>
    <t>5</t>
  </si>
  <si>
    <t>5.1</t>
  </si>
  <si>
    <t>5.2</t>
  </si>
  <si>
    <t>5.3</t>
  </si>
  <si>
    <t>5.4</t>
  </si>
  <si>
    <t>6</t>
  </si>
  <si>
    <t>6.1</t>
  </si>
  <si>
    <t>6.2</t>
  </si>
  <si>
    <t>6.3</t>
  </si>
  <si>
    <t>6.4</t>
  </si>
  <si>
    <t>7</t>
  </si>
  <si>
    <t>7.1</t>
  </si>
  <si>
    <t>КОММЕРЧЕСКОЕ ПРЕДЛОЖЕНИЕ</t>
  </si>
  <si>
    <t xml:space="preserve"> г. Санкт-Петербург, поселок Шушары, Пулковское, участок 571, участок 6, ДОУ 240 мест</t>
  </si>
  <si>
    <t>Стоимость за м2:</t>
  </si>
  <si>
    <t>Общая стоимость:</t>
  </si>
  <si>
    <t>Площадь  отделки пола:</t>
  </si>
  <si>
    <t>1.1.1</t>
  </si>
  <si>
    <t>1.1.2</t>
  </si>
  <si>
    <t>1.1.3</t>
  </si>
  <si>
    <t>1.2.1</t>
  </si>
  <si>
    <t>1.2.2</t>
  </si>
  <si>
    <t>1.2.3</t>
  </si>
  <si>
    <t>1.2.4</t>
  </si>
  <si>
    <t>1.2.5</t>
  </si>
  <si>
    <t>1.3.1</t>
  </si>
  <si>
    <t>1.3.2</t>
  </si>
  <si>
    <t>1.3.3</t>
  </si>
  <si>
    <t>1.3.4</t>
  </si>
  <si>
    <t>1.4.4</t>
  </si>
  <si>
    <t>1.5.1</t>
  </si>
  <si>
    <t>1.5.2</t>
  </si>
  <si>
    <t>1.5.3</t>
  </si>
  <si>
    <t>1.5.4</t>
  </si>
  <si>
    <t>1.6.1</t>
  </si>
  <si>
    <t>1.6.2</t>
  </si>
  <si>
    <t>1.6.4</t>
  </si>
  <si>
    <t>1.6.5</t>
  </si>
  <si>
    <t xml:space="preserve">Спальня </t>
  </si>
  <si>
    <t xml:space="preserve">Игровая </t>
  </si>
  <si>
    <t xml:space="preserve">Буфетная </t>
  </si>
  <si>
    <t>Санузел</t>
  </si>
  <si>
    <t>Раздевальная</t>
  </si>
  <si>
    <t>Инвентарная</t>
  </si>
  <si>
    <t>Общие помещения</t>
  </si>
  <si>
    <t>ПУИ</t>
  </si>
  <si>
    <t>ОДЕЛКА ДОУ 1 ЭТАЖ</t>
  </si>
  <si>
    <t>Санузел персонала</t>
  </si>
  <si>
    <t>Финишный ровнитель - 10 мм</t>
  </si>
  <si>
    <t>Групповая ячейка №9 (от 5 до 6 лет)</t>
  </si>
  <si>
    <t>Групповая ячейка №10 (от 6 до 7 лет)</t>
  </si>
  <si>
    <t>Групповая ячейка №11 (от 6 до 7 лет)</t>
  </si>
  <si>
    <t>Групповая ячейка №12 (от 5 до 6 лет)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</si>
  <si>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</si>
  <si>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</si>
  <si>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</si>
  <si>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</si>
  <si>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</si>
  <si>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</si>
  <si>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</si>
  <si>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</si>
  <si>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</si>
  <si>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</si>
  <si>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</si>
  <si>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</si>
  <si>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3.31</t>
  </si>
  <si>
    <t>3.32</t>
  </si>
  <si>
    <t>3.33</t>
  </si>
  <si>
    <t>3.34</t>
  </si>
  <si>
    <t>3.35</t>
  </si>
  <si>
    <t>3.36</t>
  </si>
  <si>
    <t>3.37</t>
  </si>
  <si>
    <t>3.38</t>
  </si>
  <si>
    <t>3.39</t>
  </si>
  <si>
    <t>3.40</t>
  </si>
  <si>
    <t>Кабинет завхоза</t>
  </si>
  <si>
    <t>Кабинет зам.заведующего</t>
  </si>
  <si>
    <t>комната приема пищи персонала</t>
  </si>
  <si>
    <t>серверная</t>
  </si>
  <si>
    <t>кабинет преподавателй</t>
  </si>
  <si>
    <t>кабинет заведующего</t>
  </si>
  <si>
    <t>лифтовой холл с зоной безопасности МГН</t>
  </si>
  <si>
    <t>Кладовая</t>
  </si>
  <si>
    <t>Балкон музыкального зала</t>
  </si>
  <si>
    <t>Методический кабинет</t>
  </si>
  <si>
    <t>Лестница №1 (тип Л1)</t>
  </si>
  <si>
    <t>Лестница №2 (тип Л1)</t>
  </si>
  <si>
    <t>Лестница №3 (тип Л1)</t>
  </si>
  <si>
    <t>ПОТОЛОК</t>
  </si>
  <si>
    <t>Гидроизоляция проникающего действия типа "Лахта", "Кальматрон", "Пенетрон" и т.п. - 2мм</t>
  </si>
  <si>
    <t xml:space="preserve">ПД-1.1 (20х200х720) </t>
  </si>
  <si>
    <t>ПД-1.2 (20х200х1060)</t>
  </si>
  <si>
    <t>ПД-1.4 (20х200х1770)</t>
  </si>
  <si>
    <t>ПД-1.6 (20х200х2070)</t>
  </si>
  <si>
    <t>Стяжка цементно-песчаная М150 армированная  сеткой д.4Вр1 100х100 - 90 мм</t>
  </si>
  <si>
    <t>Стяжка цементно-песчаная М150 армированная  сеткой д.4Вр 100х100 - 92 мм</t>
  </si>
  <si>
    <t>Облицовка стен керамической плиткой на влагостойком клее на высоту 2,1м от уровня пола с затиркой швов (КМ0 НГ)</t>
  </si>
  <si>
    <t>Тип 22 (1.3) (3.4, 3.9, 3.14, 3.19- санузел; 3.35 - санузел персонала):</t>
  </si>
  <si>
    <t>1.4.1</t>
  </si>
  <si>
    <t>1.4.2</t>
  </si>
  <si>
    <t>1.4.3</t>
  </si>
  <si>
    <t>Стяжка цементно-песчаная М150 армированная  сеткой д.4Вр1 100х100 - 42 мм</t>
  </si>
  <si>
    <t>Установка ревизионных люков нажимных под плитку Хаммер "Техно": 300х400 мм скрытый Р-1</t>
  </si>
  <si>
    <t>Установка ревизионных люков нажимных под плитку Хаммер "Техно": 200х300 мм скрытый Р-2</t>
  </si>
  <si>
    <t>ЗАШИВКА СТОЯКОВ, НИШ, УСТРОЙСТВО РЕВИЗИОННЫХ ЛЮЧКОВ, ПЕРЕГОРОДОК В САН.УЗЛАХ</t>
  </si>
  <si>
    <t>Модульные перегородки из андированного алюминиевого профиля с заполнением из влагостойкой ламинированной ДСП компании "Евростиль", "Строймода" или другой по выбору Заказчика. Ограждение выполнить высотой 1,2м от пола, не доходящими до уровня пола на 0,15 м</t>
  </si>
  <si>
    <t>м.п</t>
  </si>
  <si>
    <t xml:space="preserve">Плинтус ПВХ </t>
  </si>
  <si>
    <t>Плинтус ПВХ</t>
  </si>
  <si>
    <r>
      <t xml:space="preserve">Стяжка цементно-песчаная М150 армированная  сеткой д.4Вр1 100х100 - </t>
    </r>
    <r>
      <rPr>
        <sz val="11"/>
        <color rgb="FFC00000"/>
        <rFont val="Calibri"/>
        <family val="2"/>
        <charset val="204"/>
        <scheme val="minor"/>
      </rPr>
      <t>96 мм</t>
    </r>
  </si>
  <si>
    <t>Керамический гранит по дизайн-проекту на клее "Ветонит" - 18мм с затиркой швов</t>
  </si>
  <si>
    <r>
      <t xml:space="preserve">Тип 20 (2.2) (спальни; игровые; </t>
    </r>
    <r>
      <rPr>
        <b/>
        <sz val="11"/>
        <rFont val="Calibri"/>
        <family val="2"/>
        <charset val="204"/>
        <scheme val="minor"/>
      </rPr>
      <t>раздевальные, кабинет завхоза, комната приема пищи персонала; серверная; кабинет преподавателей; кладовые; методический кабинет</t>
    </r>
    <r>
      <rPr>
        <b/>
        <sz val="11"/>
        <color theme="1"/>
        <rFont val="Calibri"/>
        <family val="2"/>
        <scheme val="minor"/>
      </rPr>
      <t>)</t>
    </r>
  </si>
  <si>
    <t>звукоизоляция  - вспененный химически сшитый пенополиэтилен типа "Рефом" (завести на стену на высоту стяжки) 10мм</t>
  </si>
  <si>
    <t>Тип 21 (1.2) (3.3, 3.8, 3.13, 3.18 - буфетные):</t>
  </si>
  <si>
    <t>Звукоизоляция-вспененный химически сшитый пенополиэтилен типа "Рефом" (завести на стену на высоту стяжки)-10мм</t>
  </si>
  <si>
    <t>Стяжка цементно-песчаная М150 армированная  сеткой д.4Вр1 100х100 - 70-90 мм</t>
  </si>
  <si>
    <t>Тип 24 (1.2) (3.21, 3.22- коридоры, 3.29 - лифтовой холл; 3.31 - балкон муз.зала; 3.33 - ПУИ):</t>
  </si>
  <si>
    <t>1.6.6</t>
  </si>
  <si>
    <t xml:space="preserve">Высококачественная гипсовая штукатурка по маякам по стеклотканевой сетке с ячейкой 5х5 </t>
  </si>
  <si>
    <r>
      <t xml:space="preserve">Окраска стен краской </t>
    </r>
    <r>
      <rPr>
        <b/>
        <sz val="11"/>
        <color theme="1"/>
        <rFont val="Calibri"/>
        <family val="2"/>
        <charset val="204"/>
        <scheme val="minor"/>
      </rPr>
      <t>КМ1</t>
    </r>
    <r>
      <rPr>
        <sz val="11"/>
        <color theme="1"/>
        <rFont val="Calibri"/>
        <family val="2"/>
        <scheme val="minor"/>
      </rPr>
      <t xml:space="preserve"> за 2 раза </t>
    </r>
  </si>
  <si>
    <r>
      <t xml:space="preserve">Окраска стен моющейся краской </t>
    </r>
    <r>
      <rPr>
        <b/>
        <sz val="11"/>
        <color theme="1"/>
        <rFont val="Calibri"/>
        <family val="2"/>
        <charset val="204"/>
        <scheme val="minor"/>
      </rPr>
      <t>КМ0</t>
    </r>
    <r>
      <rPr>
        <sz val="11"/>
        <color theme="1"/>
        <rFont val="Calibri"/>
        <family val="2"/>
        <scheme val="minor"/>
      </rPr>
      <t xml:space="preserve"> за 2 раза </t>
    </r>
  </si>
  <si>
    <t>ОТКОСЫ (дверные, оконные)</t>
  </si>
  <si>
    <t>п.м</t>
  </si>
  <si>
    <r>
      <t xml:space="preserve">Окраска дверных откосов краской </t>
    </r>
    <r>
      <rPr>
        <b/>
        <sz val="11"/>
        <color theme="1"/>
        <rFont val="Calibri"/>
        <family val="2"/>
        <charset val="204"/>
        <scheme val="minor"/>
      </rPr>
      <t>КМ1</t>
    </r>
    <r>
      <rPr>
        <sz val="11"/>
        <color theme="1"/>
        <rFont val="Calibri"/>
        <family val="2"/>
        <scheme val="minor"/>
      </rPr>
      <t xml:space="preserve"> за 2 раза </t>
    </r>
  </si>
  <si>
    <r>
      <t xml:space="preserve">Окраска дверных откосов краской </t>
    </r>
    <r>
      <rPr>
        <b/>
        <sz val="11"/>
        <color theme="1"/>
        <rFont val="Calibri"/>
        <family val="2"/>
        <charset val="204"/>
        <scheme val="minor"/>
      </rPr>
      <t xml:space="preserve">КМ0 </t>
    </r>
    <r>
      <rPr>
        <sz val="11"/>
        <color theme="1"/>
        <rFont val="Calibri"/>
        <family val="2"/>
        <scheme val="minor"/>
      </rPr>
      <t xml:space="preserve"> за 2 раза </t>
    </r>
  </si>
  <si>
    <r>
      <t xml:space="preserve">Окраска оконных откосов краской </t>
    </r>
    <r>
      <rPr>
        <b/>
        <sz val="11"/>
        <color theme="1"/>
        <rFont val="Calibri"/>
        <family val="2"/>
        <charset val="204"/>
        <scheme val="minor"/>
      </rPr>
      <t>КМ1</t>
    </r>
    <r>
      <rPr>
        <sz val="11"/>
        <color theme="1"/>
        <rFont val="Calibri"/>
        <family val="2"/>
        <scheme val="minor"/>
      </rPr>
      <t xml:space="preserve"> за 2 раза </t>
    </r>
  </si>
  <si>
    <r>
      <t xml:space="preserve">Окраска оконных откосов краской </t>
    </r>
    <r>
      <rPr>
        <b/>
        <sz val="11"/>
        <color theme="1"/>
        <rFont val="Calibri"/>
        <family val="2"/>
        <charset val="204"/>
        <scheme val="minor"/>
      </rPr>
      <t xml:space="preserve">КМ0 </t>
    </r>
    <r>
      <rPr>
        <sz val="11"/>
        <color theme="1"/>
        <rFont val="Calibri"/>
        <family val="2"/>
        <scheme val="minor"/>
      </rPr>
      <t xml:space="preserve"> за 2 раза </t>
    </r>
  </si>
  <si>
    <t>Зашивка стояков ВК, ВВ, ОВ ГКВЛ толщ. 12,5мм в один слой по металлическому профилю ПС50/50</t>
  </si>
  <si>
    <r>
      <t xml:space="preserve">Установка </t>
    </r>
    <r>
      <rPr>
        <sz val="11"/>
        <rFont val="Calibri"/>
        <family val="2"/>
        <charset val="204"/>
        <scheme val="minor"/>
      </rPr>
      <t>экранов для радиаторов из ламинированного МДФ</t>
    </r>
    <r>
      <rPr>
        <sz val="11"/>
        <color theme="1"/>
        <rFont val="Calibri"/>
        <family val="2"/>
        <scheme val="minor"/>
      </rPr>
      <t xml:space="preserve"> Н=0,75</t>
    </r>
  </si>
  <si>
    <t>ПОДОКОННЫЕ ДОСКИ ПВХ</t>
  </si>
  <si>
    <t>САНТЕХНИЧЕСКИЕ ПЕРЕГОРОДКИ</t>
  </si>
  <si>
    <t>Шифр проекта: ДОУ-250-СОК-2-Р-АР</t>
  </si>
  <si>
    <t>РАСЧЕТ СТОИМОСТИ</t>
  </si>
  <si>
    <t xml:space="preserve"> г. Санкт-Петербург, поселок Шушары, Соколиная ул., уч.2, участок 1, ДОУ 250 мест</t>
  </si>
  <si>
    <t>ОДЕЛКА ДОУ 3 ЭТАЖ</t>
  </si>
  <si>
    <t>Площадь итого, м2</t>
  </si>
  <si>
    <t>Стоимость материалов за ед. руб.</t>
  </si>
  <si>
    <t>Стоимость работы за ед. руб.</t>
  </si>
  <si>
    <t>Стоимость материалов, всего, руб. с НДС 22%</t>
  </si>
  <si>
    <t>Стоимость работы, всего, руб. с НДС 22%</t>
  </si>
  <si>
    <t>Стоимость ИТОГО, руб. с НДС 22%</t>
  </si>
  <si>
    <t>ПРИМЕЧАНИЕ</t>
  </si>
  <si>
    <t>Плинтус из керамогранита высотой 75мм</t>
  </si>
  <si>
    <r>
      <t>Тип 17  (3.39, 3.40</t>
    </r>
    <r>
      <rPr>
        <b/>
        <sz val="11"/>
        <rFont val="Calibri"/>
        <family val="2"/>
        <charset val="204"/>
        <scheme val="minor"/>
      </rPr>
      <t xml:space="preserve"> - инвентарные</t>
    </r>
    <r>
      <rPr>
        <b/>
        <sz val="11"/>
        <color theme="1"/>
        <rFont val="Calibri"/>
        <family val="2"/>
        <scheme val="minor"/>
      </rPr>
      <t>)</t>
    </r>
  </si>
  <si>
    <t>Альма керамика 600х600</t>
  </si>
  <si>
    <t xml:space="preserve">Альма керамика </t>
  </si>
  <si>
    <r>
      <t>Стяжка цементно-песчаная М150 армированная  сеткой д.4Вр1 100х100 -</t>
    </r>
    <r>
      <rPr>
        <sz val="11"/>
        <color rgb="FFC00000"/>
        <rFont val="Calibri"/>
        <family val="2"/>
        <charset val="204"/>
        <scheme val="minor"/>
      </rPr>
      <t xml:space="preserve"> 98 мм</t>
    </r>
  </si>
  <si>
    <t>Таркетт Acczent pro</t>
  </si>
  <si>
    <t>Керамический гранит на клее "Ветонит"-18мм с затиркой швов</t>
  </si>
  <si>
    <t xml:space="preserve">Береза керамик Рамина 412х412 </t>
  </si>
  <si>
    <t>Керамический гранит  на клее "Ветонит" - 18мм с затиркой швов</t>
  </si>
  <si>
    <t>Керамический гранит на клее "Ветонит" - 18мм с затиркой швов</t>
  </si>
  <si>
    <r>
      <t xml:space="preserve">Линолеум гетерогенный на клею 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- 2мм </t>
    </r>
  </si>
  <si>
    <r>
      <t>Тип 25 (3.24</t>
    </r>
    <r>
      <rPr>
        <b/>
        <sz val="11"/>
        <rFont val="Calibri"/>
        <family val="2"/>
        <charset val="204"/>
        <scheme val="minor"/>
      </rPr>
      <t xml:space="preserve"> - кабинет зам.заведующего; 3.28 - кабинет заведующего</t>
    </r>
    <r>
      <rPr>
        <b/>
        <sz val="11"/>
        <color theme="1"/>
        <rFont val="Calibri"/>
        <family val="2"/>
        <scheme val="minor"/>
      </rPr>
      <t>)</t>
    </r>
  </si>
  <si>
    <t>Таркетт art vinil lounge</t>
  </si>
  <si>
    <t>Линолеум гетерогенный на клею с пайкой шнуром (показатели пож.опасности не более В2, Д2, Т2, РП1) - 2мм</t>
  </si>
  <si>
    <r>
      <t xml:space="preserve">Тип 1 </t>
    </r>
    <r>
      <rPr>
        <sz val="11"/>
        <color theme="1"/>
        <rFont val="Calibri"/>
        <family val="2"/>
        <charset val="204"/>
        <scheme val="minor"/>
      </rPr>
      <t>Подвесной потолок Armstrong Bioguard Plain 600х600х12мм. показатели пож.опасности не более Г1, В2, Д2, Т2, Каркас- Т-профиль Албес Евро Т24 оцинк в комплекте с угловым профилем PL19х24, подвесом 0,6м</t>
    </r>
  </si>
  <si>
    <t>КП Петрович</t>
  </si>
  <si>
    <r>
      <t xml:space="preserve">Тип 5. </t>
    </r>
    <r>
      <rPr>
        <sz val="11"/>
        <color theme="1"/>
        <rFont val="Calibri"/>
        <family val="2"/>
        <charset val="204"/>
        <scheme val="minor"/>
      </rPr>
      <t xml:space="preserve">Подвесной потолок Панель СМЛ 600х600х6мм, негорючая КМ0, Каркас - Т-профиль Албес Евро Т24 оцинк в комплекте с угловым профилем PL19х24, подвесом 0,6м  </t>
    </r>
    <r>
      <rPr>
        <b/>
        <sz val="11"/>
        <color theme="1"/>
        <rFont val="Calibri"/>
        <family val="2"/>
        <charset val="204"/>
        <scheme val="minor"/>
      </rPr>
      <t>(3.29, 3.31, 3.39, 3.40)</t>
    </r>
  </si>
  <si>
    <r>
      <rPr>
        <b/>
        <sz val="11"/>
        <color theme="1"/>
        <rFont val="Calibri"/>
        <family val="2"/>
        <charset val="204"/>
        <scheme val="minor"/>
      </rPr>
      <t>Тип 6.</t>
    </r>
    <r>
      <rPr>
        <sz val="11"/>
        <color theme="1"/>
        <rFont val="Calibri"/>
        <family val="2"/>
        <charset val="204"/>
        <scheme val="minor"/>
      </rPr>
      <t xml:space="preserve"> Штукатурка цементная 20мм, шпаклевка влагостойкая, окраска влагостойкой краской за 2 раза </t>
    </r>
    <r>
      <rPr>
        <b/>
        <sz val="11"/>
        <color theme="1"/>
        <rFont val="Calibri"/>
        <family val="2"/>
        <charset val="204"/>
        <scheme val="minor"/>
      </rPr>
      <t>(3.30, 3.32, 3.33)</t>
    </r>
  </si>
  <si>
    <t>Interior Aura Mattlatex</t>
  </si>
  <si>
    <t>Azori 315*630 и 201*505</t>
  </si>
  <si>
    <t>Утепление стен мин.плитой Роквул Фасад Баттс Оптима, 50мм с устройство армирующего слоя (стеклосетка щелочестойкая Мастер 4*4+ клей шпатлевка для армирования теплоизоляционных плит Capatect Klebe und Armierungmasse 186 или аналог + окраск за 2 раза)</t>
  </si>
  <si>
    <t>Высококачественная цементно-песчаная штукатурка с добавками против влаги по маякам,  по стеклотканевой сетке с ячейкой 5х5 - 20мм</t>
  </si>
  <si>
    <t xml:space="preserve">Шпаклевка стен под окраску </t>
  </si>
  <si>
    <t>Зашивка оконных откосов ГВЛ  на клеевую смесь со шпаклевкой сухими строительными смесями типа "КНАУФ" б=2 мм</t>
  </si>
  <si>
    <t>Зашивка дверных откосов ГВЛ  на клеевую смесь со шпаклевкой сухими строительными смесями типа "КНАУФ" б=2 мм</t>
  </si>
  <si>
    <t>Подвесной реечный потолок - Рейка А100АТ бел мат ал0,4 в комплекте с гребенкой, уголком и подвесом 0,6м (санузлы)</t>
  </si>
  <si>
    <t>2.1.1</t>
  </si>
  <si>
    <t>Грунт G111 ОПТИМИСТ под краску НГ  Краска eskaro W220 ОПТИМИСТ негорючая КМ0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</si>
</sst>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C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  <charset val="204"/>
    </font>
    <font>
      <b/>
      <i/>
      <sz val="12"/>
      <name val="Calibri"/>
      <family val="2"/>
      <charset val="204"/>
      <scheme val="minor"/>
    </font>
    <font>
      <i/>
      <sz val="14"/>
      <name val="Calibri"/>
      <family val="2"/>
      <charset val="204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C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AFAE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1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textRotation="90" wrapText="1"/>
    </xf>
    <xf numFmtId="0" fontId="16" fillId="3" borderId="1" xfId="0" applyFont="1" applyFill="1" applyBorder="1" applyAlignment="1">
      <alignment horizontal="center" vertical="center" textRotation="90" wrapText="1"/>
    </xf>
    <xf numFmtId="0" fontId="9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textRotation="90" wrapText="1"/>
    </xf>
    <xf numFmtId="0" fontId="16" fillId="6" borderId="1" xfId="0" applyFont="1" applyFill="1" applyBorder="1" applyAlignment="1">
      <alignment horizontal="center" vertical="center" textRotation="90" wrapText="1"/>
    </xf>
    <xf numFmtId="0" fontId="16" fillId="7" borderId="1" xfId="0" applyFont="1" applyFill="1" applyBorder="1" applyAlignment="1">
      <alignment horizontal="center" vertical="center" textRotation="90" wrapText="1"/>
    </xf>
    <xf numFmtId="49" fontId="16" fillId="4" borderId="1" xfId="0" applyNumberFormat="1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center" textRotation="90" wrapText="1"/>
    </xf>
    <xf numFmtId="0" fontId="21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textRotation="90" wrapText="1"/>
    </xf>
    <xf numFmtId="0" fontId="16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49" fontId="16" fillId="3" borderId="4" xfId="0" applyNumberFormat="1" applyFont="1" applyFill="1" applyBorder="1" applyAlignment="1">
      <alignment horizontal="center" vertical="center" wrapText="1"/>
    </xf>
    <xf numFmtId="49" fontId="16" fillId="3" borderId="5" xfId="0" applyNumberFormat="1" applyFont="1" applyFill="1" applyBorder="1" applyAlignment="1">
      <alignment horizontal="center" vertical="center" wrapText="1"/>
    </xf>
    <xf numFmtId="49" fontId="16" fillId="3" borderId="6" xfId="0" applyNumberFormat="1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textRotation="90" wrapText="1"/>
    </xf>
    <xf numFmtId="0" fontId="16" fillId="3" borderId="8" xfId="0" applyFont="1" applyFill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49" fontId="16" fillId="5" borderId="4" xfId="0" applyNumberFormat="1" applyFont="1" applyFill="1" applyBorder="1" applyAlignment="1">
      <alignment horizontal="center" vertical="center" wrapText="1"/>
    </xf>
    <xf numFmtId="49" fontId="16" fillId="5" borderId="5" xfId="0" applyNumberFormat="1" applyFont="1" applyFill="1" applyBorder="1" applyAlignment="1">
      <alignment horizontal="center" vertical="center" wrapText="1"/>
    </xf>
    <xf numFmtId="49" fontId="16" fillId="5" borderId="6" xfId="0" applyNumberFormat="1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textRotation="90" wrapText="1"/>
    </xf>
    <xf numFmtId="0" fontId="16" fillId="5" borderId="8" xfId="0" applyFont="1" applyFill="1" applyBorder="1" applyAlignment="1">
      <alignment horizontal="center" vertical="center" textRotation="90" wrapText="1"/>
    </xf>
    <xf numFmtId="49" fontId="16" fillId="6" borderId="4" xfId="0" applyNumberFormat="1" applyFont="1" applyFill="1" applyBorder="1" applyAlignment="1">
      <alignment horizontal="center" vertical="center" wrapText="1"/>
    </xf>
    <xf numFmtId="49" fontId="16" fillId="6" borderId="5" xfId="0" applyNumberFormat="1" applyFont="1" applyFill="1" applyBorder="1" applyAlignment="1">
      <alignment horizontal="center" vertical="center" wrapText="1"/>
    </xf>
    <xf numFmtId="49" fontId="16" fillId="6" borderId="6" xfId="0" applyNumberFormat="1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textRotation="90" wrapText="1"/>
    </xf>
    <xf numFmtId="0" fontId="16" fillId="6" borderId="8" xfId="0" applyFont="1" applyFill="1" applyBorder="1" applyAlignment="1">
      <alignment horizontal="center" vertical="center" textRotation="90" wrapText="1"/>
    </xf>
    <xf numFmtId="2" fontId="10" fillId="0" borderId="9" xfId="0" applyNumberFormat="1" applyFont="1" applyBorder="1" applyAlignment="1">
      <alignment horizontal="center" vertical="center" wrapText="1"/>
    </xf>
    <xf numFmtId="49" fontId="16" fillId="4" borderId="3" xfId="0" applyNumberFormat="1" applyFont="1" applyFill="1" applyBorder="1" applyAlignment="1">
      <alignment horizontal="center" vertical="center" wrapText="1"/>
    </xf>
    <xf numFmtId="49" fontId="16" fillId="4" borderId="3" xfId="0" applyNumberFormat="1" applyFont="1" applyFill="1" applyBorder="1" applyAlignment="1">
      <alignment horizontal="center" vertical="center" textRotation="90" wrapText="1"/>
    </xf>
    <xf numFmtId="49" fontId="16" fillId="7" borderId="4" xfId="0" applyNumberFormat="1" applyFont="1" applyFill="1" applyBorder="1" applyAlignment="1">
      <alignment horizontal="center" vertical="center" wrapText="1"/>
    </xf>
    <xf numFmtId="49" fontId="16" fillId="7" borderId="5" xfId="0" applyNumberFormat="1" applyFont="1" applyFill="1" applyBorder="1" applyAlignment="1">
      <alignment horizontal="center" vertical="center" wrapText="1"/>
    </xf>
    <xf numFmtId="49" fontId="16" fillId="7" borderId="6" xfId="0" applyNumberFormat="1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center" vertical="center" textRotation="90" wrapText="1"/>
    </xf>
    <xf numFmtId="0" fontId="16" fillId="7" borderId="8" xfId="0" applyFont="1" applyFill="1" applyBorder="1" applyAlignment="1">
      <alignment horizontal="center" vertical="center" textRotation="90" wrapText="1"/>
    </xf>
    <xf numFmtId="0" fontId="15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21" fillId="8" borderId="1" xfId="0" applyNumberFormat="1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left" vertical="center" wrapText="1"/>
    </xf>
    <xf numFmtId="49" fontId="7" fillId="8" borderId="1" xfId="0" applyNumberFormat="1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49" fontId="8" fillId="8" borderId="1" xfId="0" applyNumberFormat="1" applyFont="1" applyFill="1" applyBorder="1" applyAlignment="1">
      <alignment horizontal="center" vertical="center" wrapText="1"/>
    </xf>
    <xf numFmtId="49" fontId="12" fillId="9" borderId="1" xfId="0" applyNumberFormat="1" applyFont="1" applyFill="1" applyBorder="1" applyAlignment="1">
      <alignment horizontal="center" vertical="center" wrapText="1"/>
    </xf>
    <xf numFmtId="49" fontId="7" fillId="9" borderId="1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0" fillId="10" borderId="1" xfId="0" applyNumberForma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left" vertical="center" wrapText="1"/>
    </xf>
    <xf numFmtId="0" fontId="0" fillId="10" borderId="2" xfId="0" applyFill="1" applyBorder="1" applyAlignment="1">
      <alignment horizontal="center" vertical="center" wrapText="1"/>
    </xf>
    <xf numFmtId="2" fontId="10" fillId="10" borderId="7" xfId="0" applyNumberFormat="1" applyFont="1" applyFill="1" applyBorder="1" applyAlignment="1">
      <alignment horizontal="center" vertical="center" wrapText="1"/>
    </xf>
    <xf numFmtId="2" fontId="10" fillId="10" borderId="1" xfId="0" applyNumberFormat="1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0" fillId="10" borderId="8" xfId="0" applyFont="1" applyFill="1" applyBorder="1" applyAlignment="1">
      <alignment horizontal="center" vertical="center" wrapText="1"/>
    </xf>
    <xf numFmtId="0" fontId="10" fillId="10" borderId="7" xfId="0" applyFont="1" applyFill="1" applyBorder="1" applyAlignment="1">
      <alignment horizontal="center" vertical="center" wrapText="1"/>
    </xf>
    <xf numFmtId="2" fontId="10" fillId="10" borderId="8" xfId="0" applyNumberFormat="1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2" fontId="14" fillId="10" borderId="1" xfId="0" applyNumberFormat="1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0" borderId="0" xfId="0" applyFill="1" applyAlignment="1">
      <alignment horizontal="center" vertical="center" wrapText="1"/>
    </xf>
    <xf numFmtId="2" fontId="15" fillId="1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6" fillId="7" borderId="8" xfId="0" applyFont="1" applyFill="1" applyBorder="1" applyAlignment="1">
      <alignment horizontal="center" vertical="center" wrapText="1"/>
    </xf>
    <xf numFmtId="49" fontId="16" fillId="4" borderId="9" xfId="0" applyNumberFormat="1" applyFont="1" applyFill="1" applyBorder="1" applyAlignment="1">
      <alignment horizontal="center" vertical="center" wrapText="1"/>
    </xf>
    <xf numFmtId="49" fontId="16" fillId="4" borderId="10" xfId="0" applyNumberFormat="1" applyFont="1" applyFill="1" applyBorder="1" applyAlignment="1">
      <alignment horizontal="center" vertical="center" wrapText="1"/>
    </xf>
    <xf numFmtId="49" fontId="16" fillId="4" borderId="3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 2 2" xfId="1" xr:uid="{EE248758-A906-4B1B-84A4-6B9710196F0C}"/>
  </cellStyles>
  <dxfs count="0"/>
  <tableStyles count="0" defaultTableStyle="TableStyleMedium2" defaultPivotStyle="PivotStyleLight16"/>
  <colors>
    <mruColors>
      <color rgb="FFF6C6DE"/>
      <color rgb="FF9966FF"/>
      <color rgb="FFFF99CC"/>
      <color rgb="FFFFFFFF"/>
      <color rgb="FFFF99FF"/>
      <color rgb="FF66FF99"/>
      <color rgb="FF00FF00"/>
      <color rgb="FFFFFF00"/>
      <color rgb="FF9933FF"/>
      <color rgb="FF9AF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663AD-6593-4EA6-B7D1-2B2825A30D4C}">
  <sheetPr>
    <pageSetUpPr fitToPage="1"/>
  </sheetPr>
  <dimension ref="A1:AX80"/>
  <sheetViews>
    <sheetView tabSelected="1" view="pageBreakPreview" topLeftCell="A7" zoomScale="70" zoomScaleNormal="90" zoomScaleSheetLayoutView="70" workbookViewId="0">
      <pane xSplit="3" ySplit="7" topLeftCell="D35" activePane="bottomRight" state="frozen"/>
      <selection activeCell="A7" sqref="A7"/>
      <selection pane="topRight" activeCell="D7" sqref="D7"/>
      <selection pane="bottomLeft" activeCell="A10" sqref="A10"/>
      <selection pane="bottomRight" activeCell="A44" sqref="A44:XFD44"/>
    </sheetView>
  </sheetViews>
  <sheetFormatPr defaultRowHeight="15.75" x14ac:dyDescent="0.25"/>
  <cols>
    <col min="1" max="1" width="8.7109375" style="16" customWidth="1"/>
    <col min="2" max="2" width="58.7109375" style="2" customWidth="1"/>
    <col min="3" max="3" width="7" style="1" customWidth="1"/>
    <col min="4" max="4" width="8.28515625" style="10" bestFit="1" customWidth="1"/>
    <col min="5" max="5" width="8.42578125" style="10" customWidth="1"/>
    <col min="6" max="6" width="7.140625" style="10" customWidth="1"/>
    <col min="7" max="7" width="7.42578125" style="10" customWidth="1"/>
    <col min="8" max="8" width="10.5703125" style="10" customWidth="1"/>
    <col min="9" max="9" width="6.85546875" style="10" customWidth="1"/>
    <col min="10" max="10" width="7.140625" style="10" customWidth="1"/>
    <col min="11" max="11" width="7" style="10" customWidth="1"/>
    <col min="12" max="12" width="7.28515625" style="10" customWidth="1"/>
    <col min="13" max="13" width="6.5703125" style="10" customWidth="1"/>
    <col min="14" max="14" width="7.7109375" style="10" customWidth="1"/>
    <col min="15" max="15" width="7.28515625" style="10" customWidth="1"/>
    <col min="16" max="16" width="6.85546875" style="10" customWidth="1"/>
    <col min="17" max="17" width="7.42578125" style="10" customWidth="1"/>
    <col min="18" max="19" width="7.28515625" style="10" customWidth="1"/>
    <col min="20" max="20" width="7.140625" style="10" customWidth="1"/>
    <col min="21" max="21" width="6.7109375" style="10" customWidth="1"/>
    <col min="22" max="22" width="6.85546875" style="10" customWidth="1"/>
    <col min="23" max="23" width="7.140625" style="10" customWidth="1"/>
    <col min="24" max="24" width="7.85546875" style="10" customWidth="1"/>
    <col min="25" max="25" width="7.7109375" style="10" customWidth="1"/>
    <col min="26" max="26" width="6.7109375" style="10" customWidth="1"/>
    <col min="27" max="27" width="9.140625" style="10" customWidth="1"/>
    <col min="28" max="28" width="8.28515625" style="10" customWidth="1"/>
    <col min="29" max="29" width="8" style="10" customWidth="1"/>
    <col min="30" max="31" width="6.7109375" style="10" customWidth="1"/>
    <col min="32" max="32" width="8.5703125" style="10" customWidth="1"/>
    <col min="33" max="38" width="8.7109375" style="10" customWidth="1"/>
    <col min="39" max="41" width="8.7109375" style="10" hidden="1" customWidth="1"/>
    <col min="42" max="43" width="8.7109375" style="10" customWidth="1"/>
    <col min="44" max="44" width="18.42578125" style="23" customWidth="1"/>
    <col min="45" max="45" width="15" style="1" customWidth="1"/>
    <col min="46" max="46" width="17.5703125" style="1" customWidth="1"/>
    <col min="47" max="47" width="16.85546875" style="1" customWidth="1"/>
    <col min="48" max="48" width="16.140625" style="1" customWidth="1"/>
    <col min="49" max="49" width="15.85546875" style="1" customWidth="1"/>
    <col min="50" max="50" width="35" style="1" customWidth="1"/>
    <col min="51" max="16384" width="9.140625" style="1"/>
  </cols>
  <sheetData>
    <row r="1" spans="1:50" ht="75" x14ac:dyDescent="0.25">
      <c r="A1" s="124"/>
      <c r="B1" s="124"/>
      <c r="C1" s="125"/>
      <c r="D1" s="125"/>
      <c r="E1" s="125"/>
      <c r="F1" s="125"/>
      <c r="G1" s="125"/>
      <c r="H1" s="125"/>
      <c r="I1" s="126"/>
      <c r="J1" s="126"/>
      <c r="K1" s="126"/>
      <c r="L1" s="126"/>
      <c r="M1" s="126"/>
      <c r="N1" s="126"/>
      <c r="O1" s="126"/>
      <c r="AR1" s="78" t="s">
        <v>54</v>
      </c>
    </row>
    <row r="2" spans="1:50" ht="37.5" x14ac:dyDescent="0.25">
      <c r="A2" s="26"/>
      <c r="B2" s="26"/>
      <c r="C2" s="22"/>
      <c r="AR2" s="78" t="s">
        <v>88</v>
      </c>
    </row>
    <row r="3" spans="1:50" ht="126" x14ac:dyDescent="0.25">
      <c r="A3" s="26"/>
      <c r="B3" s="26"/>
      <c r="C3" s="22"/>
      <c r="AR3" s="23" t="s">
        <v>55</v>
      </c>
    </row>
    <row r="4" spans="1:50" ht="18.75" customHeight="1" x14ac:dyDescent="0.25">
      <c r="A4" s="26"/>
      <c r="B4" s="26"/>
      <c r="C4" s="22"/>
      <c r="AR4" s="77" t="s">
        <v>58</v>
      </c>
    </row>
    <row r="5" spans="1:50" ht="31.5" x14ac:dyDescent="0.25">
      <c r="A5" s="26"/>
      <c r="B5" s="26"/>
      <c r="C5" s="22"/>
      <c r="AR5" s="27" t="s">
        <v>56</v>
      </c>
    </row>
    <row r="6" spans="1:50" ht="37.5" x14ac:dyDescent="0.25">
      <c r="A6" s="26"/>
      <c r="B6" s="26"/>
      <c r="C6" s="22"/>
      <c r="AR6" s="28" t="s">
        <v>57</v>
      </c>
    </row>
    <row r="7" spans="1:50" ht="23.25" x14ac:dyDescent="0.25">
      <c r="A7" s="142" t="s">
        <v>174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2"/>
      <c r="AS7" s="142"/>
      <c r="AT7" s="142"/>
      <c r="AU7" s="142"/>
      <c r="AV7" s="142"/>
      <c r="AW7" s="142"/>
    </row>
    <row r="8" spans="1:50" ht="23.25" x14ac:dyDescent="0.25">
      <c r="A8" s="143" t="s">
        <v>176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</row>
    <row r="9" spans="1:50" ht="23.25" x14ac:dyDescent="0.25">
      <c r="A9" s="144" t="s">
        <v>175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</row>
    <row r="10" spans="1:50" ht="24" thickBot="1" x14ac:dyDescent="0.3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</row>
    <row r="11" spans="1:50" s="19" customFormat="1" ht="16.5" customHeight="1" x14ac:dyDescent="0.25">
      <c r="A11" s="121"/>
      <c r="B11" s="122"/>
      <c r="C11" s="123"/>
      <c r="D11" s="46" t="s">
        <v>17</v>
      </c>
      <c r="E11" s="47" t="s">
        <v>18</v>
      </c>
      <c r="F11" s="47" t="s">
        <v>19</v>
      </c>
      <c r="G11" s="47" t="s">
        <v>20</v>
      </c>
      <c r="H11" s="48" t="s">
        <v>21</v>
      </c>
      <c r="I11" s="59" t="s">
        <v>22</v>
      </c>
      <c r="J11" s="60" t="s">
        <v>23</v>
      </c>
      <c r="K11" s="60" t="s">
        <v>24</v>
      </c>
      <c r="L11" s="60" t="s">
        <v>25</v>
      </c>
      <c r="M11" s="61" t="s">
        <v>26</v>
      </c>
      <c r="N11" s="64" t="s">
        <v>27</v>
      </c>
      <c r="O11" s="65" t="s">
        <v>28</v>
      </c>
      <c r="P11" s="65" t="s">
        <v>29</v>
      </c>
      <c r="Q11" s="65" t="s">
        <v>30</v>
      </c>
      <c r="R11" s="66" t="s">
        <v>31</v>
      </c>
      <c r="S11" s="72" t="s">
        <v>32</v>
      </c>
      <c r="T11" s="73" t="s">
        <v>33</v>
      </c>
      <c r="U11" s="73" t="s">
        <v>34</v>
      </c>
      <c r="V11" s="73" t="s">
        <v>95</v>
      </c>
      <c r="W11" s="74" t="s">
        <v>96</v>
      </c>
      <c r="X11" s="70" t="s">
        <v>97</v>
      </c>
      <c r="Y11" s="34" t="s">
        <v>98</v>
      </c>
      <c r="Z11" s="34" t="s">
        <v>99</v>
      </c>
      <c r="AA11" s="34" t="s">
        <v>100</v>
      </c>
      <c r="AB11" s="34" t="s">
        <v>101</v>
      </c>
      <c r="AC11" s="34" t="s">
        <v>102</v>
      </c>
      <c r="AD11" s="34" t="s">
        <v>103</v>
      </c>
      <c r="AE11" s="34" t="s">
        <v>104</v>
      </c>
      <c r="AF11" s="34" t="s">
        <v>105</v>
      </c>
      <c r="AG11" s="34" t="s">
        <v>106</v>
      </c>
      <c r="AH11" s="34" t="s">
        <v>107</v>
      </c>
      <c r="AI11" s="34" t="s">
        <v>108</v>
      </c>
      <c r="AJ11" s="34" t="s">
        <v>109</v>
      </c>
      <c r="AK11" s="34" t="s">
        <v>110</v>
      </c>
      <c r="AL11" s="34" t="s">
        <v>111</v>
      </c>
      <c r="AM11" s="34" t="s">
        <v>112</v>
      </c>
      <c r="AN11" s="34" t="s">
        <v>113</v>
      </c>
      <c r="AO11" s="34" t="s">
        <v>114</v>
      </c>
      <c r="AP11" s="34" t="s">
        <v>115</v>
      </c>
      <c r="AQ11" s="34" t="s">
        <v>116</v>
      </c>
      <c r="AR11" s="117" t="s">
        <v>177</v>
      </c>
      <c r="AS11" s="117" t="s">
        <v>178</v>
      </c>
      <c r="AT11" s="117" t="s">
        <v>179</v>
      </c>
      <c r="AU11" s="118" t="s">
        <v>180</v>
      </c>
      <c r="AV11" s="118" t="s">
        <v>181</v>
      </c>
      <c r="AW11" s="118" t="s">
        <v>182</v>
      </c>
      <c r="AX11" s="118" t="s">
        <v>183</v>
      </c>
    </row>
    <row r="12" spans="1:50" s="19" customFormat="1" ht="15" customHeight="1" x14ac:dyDescent="0.25">
      <c r="A12" s="121"/>
      <c r="B12" s="122"/>
      <c r="C12" s="123"/>
      <c r="D12" s="127" t="s">
        <v>91</v>
      </c>
      <c r="E12" s="128"/>
      <c r="F12" s="128"/>
      <c r="G12" s="128"/>
      <c r="H12" s="129"/>
      <c r="I12" s="130" t="s">
        <v>92</v>
      </c>
      <c r="J12" s="131"/>
      <c r="K12" s="131"/>
      <c r="L12" s="131"/>
      <c r="M12" s="132"/>
      <c r="N12" s="133" t="s">
        <v>93</v>
      </c>
      <c r="O12" s="134"/>
      <c r="P12" s="134"/>
      <c r="Q12" s="134"/>
      <c r="R12" s="135"/>
      <c r="S12" s="136" t="s">
        <v>94</v>
      </c>
      <c r="T12" s="137"/>
      <c r="U12" s="137"/>
      <c r="V12" s="137"/>
      <c r="W12" s="138"/>
      <c r="X12" s="139" t="s">
        <v>86</v>
      </c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1"/>
      <c r="AR12" s="117"/>
      <c r="AS12" s="117"/>
      <c r="AT12" s="117"/>
      <c r="AU12" s="119"/>
      <c r="AV12" s="119"/>
      <c r="AW12" s="119"/>
      <c r="AX12" s="119"/>
    </row>
    <row r="13" spans="1:50" s="19" customFormat="1" ht="92.25" customHeight="1" x14ac:dyDescent="0.25">
      <c r="A13" s="121"/>
      <c r="B13" s="122"/>
      <c r="C13" s="123"/>
      <c r="D13" s="49" t="s">
        <v>80</v>
      </c>
      <c r="E13" s="21" t="s">
        <v>81</v>
      </c>
      <c r="F13" s="21" t="s">
        <v>82</v>
      </c>
      <c r="G13" s="21" t="s">
        <v>83</v>
      </c>
      <c r="H13" s="50" t="s">
        <v>84</v>
      </c>
      <c r="I13" s="62" t="s">
        <v>80</v>
      </c>
      <c r="J13" s="31" t="s">
        <v>81</v>
      </c>
      <c r="K13" s="31" t="s">
        <v>82</v>
      </c>
      <c r="L13" s="31" t="s">
        <v>83</v>
      </c>
      <c r="M13" s="63" t="s">
        <v>84</v>
      </c>
      <c r="N13" s="67" t="s">
        <v>80</v>
      </c>
      <c r="O13" s="32" t="s">
        <v>81</v>
      </c>
      <c r="P13" s="32" t="s">
        <v>82</v>
      </c>
      <c r="Q13" s="32" t="s">
        <v>83</v>
      </c>
      <c r="R13" s="68" t="s">
        <v>84</v>
      </c>
      <c r="S13" s="75" t="s">
        <v>80</v>
      </c>
      <c r="T13" s="33" t="s">
        <v>81</v>
      </c>
      <c r="U13" s="33" t="s">
        <v>82</v>
      </c>
      <c r="V13" s="33" t="s">
        <v>83</v>
      </c>
      <c r="W13" s="76" t="s">
        <v>84</v>
      </c>
      <c r="X13" s="71" t="s">
        <v>1</v>
      </c>
      <c r="Y13" s="35" t="s">
        <v>1</v>
      </c>
      <c r="Z13" s="35" t="s">
        <v>117</v>
      </c>
      <c r="AA13" s="35" t="s">
        <v>118</v>
      </c>
      <c r="AB13" s="35" t="s">
        <v>119</v>
      </c>
      <c r="AC13" s="35" t="s">
        <v>120</v>
      </c>
      <c r="AD13" s="35" t="s">
        <v>121</v>
      </c>
      <c r="AE13" s="35" t="s">
        <v>122</v>
      </c>
      <c r="AF13" s="35" t="s">
        <v>123</v>
      </c>
      <c r="AG13" s="35" t="s">
        <v>124</v>
      </c>
      <c r="AH13" s="35" t="s">
        <v>125</v>
      </c>
      <c r="AI13" s="35" t="s">
        <v>124</v>
      </c>
      <c r="AJ13" s="35" t="s">
        <v>87</v>
      </c>
      <c r="AK13" s="35" t="s">
        <v>126</v>
      </c>
      <c r="AL13" s="35" t="s">
        <v>89</v>
      </c>
      <c r="AM13" s="35" t="s">
        <v>127</v>
      </c>
      <c r="AN13" s="35" t="s">
        <v>128</v>
      </c>
      <c r="AO13" s="35" t="s">
        <v>129</v>
      </c>
      <c r="AP13" s="35" t="s">
        <v>85</v>
      </c>
      <c r="AQ13" s="35" t="s">
        <v>85</v>
      </c>
      <c r="AR13" s="117"/>
      <c r="AS13" s="117"/>
      <c r="AT13" s="117"/>
      <c r="AU13" s="120"/>
      <c r="AV13" s="120"/>
      <c r="AW13" s="120"/>
      <c r="AX13" s="120"/>
    </row>
    <row r="14" spans="1:50" s="3" customFormat="1" ht="18.75" customHeight="1" x14ac:dyDescent="0.25">
      <c r="A14" s="85"/>
      <c r="B14" s="86" t="s">
        <v>0</v>
      </c>
      <c r="C14" s="37"/>
      <c r="D14" s="51"/>
      <c r="E14" s="20"/>
      <c r="F14" s="20"/>
      <c r="G14" s="20"/>
      <c r="H14" s="52"/>
      <c r="I14" s="51"/>
      <c r="J14" s="20"/>
      <c r="K14" s="20"/>
      <c r="L14" s="20"/>
      <c r="M14" s="52"/>
      <c r="N14" s="51"/>
      <c r="O14" s="20"/>
      <c r="P14" s="20"/>
      <c r="Q14" s="20"/>
      <c r="R14" s="52"/>
      <c r="S14" s="51"/>
      <c r="T14" s="20"/>
      <c r="U14" s="20"/>
      <c r="V14" s="20"/>
      <c r="W14" s="52"/>
      <c r="X14" s="42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4"/>
      <c r="AS14" s="4"/>
      <c r="AT14" s="4"/>
      <c r="AU14" s="4"/>
      <c r="AV14" s="4"/>
      <c r="AW14" s="4"/>
      <c r="AX14" s="4"/>
    </row>
    <row r="15" spans="1:50" s="3" customFormat="1" ht="32.25" customHeight="1" x14ac:dyDescent="0.25">
      <c r="A15" s="85" t="s">
        <v>6</v>
      </c>
      <c r="B15" s="84" t="s">
        <v>185</v>
      </c>
      <c r="C15" s="38"/>
      <c r="D15" s="53"/>
      <c r="E15" s="18"/>
      <c r="F15" s="18"/>
      <c r="G15" s="18"/>
      <c r="H15" s="54"/>
      <c r="I15" s="53"/>
      <c r="J15" s="18"/>
      <c r="K15" s="18"/>
      <c r="L15" s="18"/>
      <c r="M15" s="54"/>
      <c r="N15" s="53"/>
      <c r="O15" s="18"/>
      <c r="P15" s="18"/>
      <c r="Q15" s="18"/>
      <c r="R15" s="54"/>
      <c r="S15" s="53"/>
      <c r="T15" s="18"/>
      <c r="U15" s="18"/>
      <c r="V15" s="18"/>
      <c r="W15" s="54"/>
      <c r="X15" s="43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25"/>
      <c r="AS15" s="4"/>
      <c r="AT15" s="4"/>
      <c r="AU15" s="4"/>
      <c r="AV15" s="4"/>
      <c r="AW15" s="4"/>
      <c r="AX15" s="4"/>
    </row>
    <row r="16" spans="1:50" s="3" customFormat="1" ht="30" x14ac:dyDescent="0.25">
      <c r="A16" s="82" t="s">
        <v>59</v>
      </c>
      <c r="B16" s="6" t="s">
        <v>143</v>
      </c>
      <c r="C16" s="37" t="s">
        <v>2</v>
      </c>
      <c r="D16" s="53"/>
      <c r="E16" s="18"/>
      <c r="F16" s="18"/>
      <c r="G16" s="18"/>
      <c r="H16" s="54"/>
      <c r="I16" s="53"/>
      <c r="J16" s="18"/>
      <c r="K16" s="18"/>
      <c r="L16" s="18"/>
      <c r="M16" s="54"/>
      <c r="N16" s="53"/>
      <c r="O16" s="18"/>
      <c r="P16" s="18"/>
      <c r="Q16" s="18"/>
      <c r="R16" s="54"/>
      <c r="S16" s="53"/>
      <c r="T16" s="18"/>
      <c r="U16" s="18"/>
      <c r="V16" s="18"/>
      <c r="W16" s="54"/>
      <c r="X16" s="43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79">
        <v>10.81</v>
      </c>
      <c r="AQ16" s="80">
        <v>10.8</v>
      </c>
      <c r="AR16" s="25">
        <f>SUM(D16:AQ16)</f>
        <v>21.61</v>
      </c>
      <c r="AS16" s="4"/>
      <c r="AT16" s="4"/>
      <c r="AU16" s="4"/>
      <c r="AV16" s="4"/>
      <c r="AW16" s="4"/>
      <c r="AX16" s="4"/>
    </row>
    <row r="17" spans="1:50" s="3" customFormat="1" ht="30" x14ac:dyDescent="0.25">
      <c r="A17" s="82" t="s">
        <v>60</v>
      </c>
      <c r="B17" s="81" t="s">
        <v>152</v>
      </c>
      <c r="C17" s="37" t="s">
        <v>2</v>
      </c>
      <c r="D17" s="53"/>
      <c r="E17" s="18"/>
      <c r="F17" s="18"/>
      <c r="G17" s="18"/>
      <c r="H17" s="54"/>
      <c r="I17" s="53"/>
      <c r="J17" s="18"/>
      <c r="K17" s="18"/>
      <c r="L17" s="18"/>
      <c r="M17" s="54"/>
      <c r="N17" s="53"/>
      <c r="O17" s="18"/>
      <c r="P17" s="18"/>
      <c r="Q17" s="18"/>
      <c r="R17" s="54"/>
      <c r="S17" s="53"/>
      <c r="T17" s="18"/>
      <c r="U17" s="18"/>
      <c r="V17" s="18"/>
      <c r="W17" s="54"/>
      <c r="X17" s="43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79">
        <f>AP16</f>
        <v>10.81</v>
      </c>
      <c r="AQ17" s="80">
        <f>AQ16</f>
        <v>10.8</v>
      </c>
      <c r="AR17" s="25">
        <f>SUM(D17:AQ17)</f>
        <v>21.61</v>
      </c>
      <c r="AS17" s="4"/>
      <c r="AT17" s="4"/>
      <c r="AU17" s="4"/>
      <c r="AV17" s="4"/>
      <c r="AW17" s="4"/>
      <c r="AX17" s="94" t="s">
        <v>186</v>
      </c>
    </row>
    <row r="18" spans="1:50" x14ac:dyDescent="0.25">
      <c r="A18" s="82" t="s">
        <v>61</v>
      </c>
      <c r="B18" s="8" t="s">
        <v>184</v>
      </c>
      <c r="C18" s="37" t="s">
        <v>2</v>
      </c>
      <c r="D18" s="55"/>
      <c r="E18" s="9"/>
      <c r="F18" s="9"/>
      <c r="G18" s="9"/>
      <c r="H18" s="56"/>
      <c r="I18" s="55"/>
      <c r="J18" s="9"/>
      <c r="K18" s="9"/>
      <c r="L18" s="9"/>
      <c r="M18" s="56"/>
      <c r="N18" s="55"/>
      <c r="O18" s="9"/>
      <c r="P18" s="9"/>
      <c r="Q18" s="9"/>
      <c r="R18" s="56"/>
      <c r="S18" s="55"/>
      <c r="T18" s="9"/>
      <c r="U18" s="9"/>
      <c r="V18" s="9"/>
      <c r="W18" s="56"/>
      <c r="X18" s="44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79">
        <f>13.82-1.1</f>
        <v>12.72</v>
      </c>
      <c r="AQ18" s="80">
        <f>13.82-1.01</f>
        <v>12.81</v>
      </c>
      <c r="AR18" s="25">
        <f>SUM(D18:AQ18)</f>
        <v>25.53</v>
      </c>
      <c r="AS18" s="93"/>
      <c r="AT18" s="93"/>
      <c r="AU18" s="93"/>
      <c r="AV18" s="93"/>
      <c r="AW18" s="93"/>
      <c r="AX18" s="94" t="s">
        <v>187</v>
      </c>
    </row>
    <row r="19" spans="1:50" s="3" customFormat="1" ht="51" customHeight="1" x14ac:dyDescent="0.25">
      <c r="A19" s="83" t="s">
        <v>7</v>
      </c>
      <c r="B19" s="84" t="s">
        <v>153</v>
      </c>
      <c r="C19" s="38"/>
      <c r="D19" s="53"/>
      <c r="E19" s="18"/>
      <c r="F19" s="18"/>
      <c r="G19" s="18"/>
      <c r="H19" s="54"/>
      <c r="I19" s="53"/>
      <c r="J19" s="18"/>
      <c r="K19" s="18"/>
      <c r="L19" s="18"/>
      <c r="M19" s="54"/>
      <c r="N19" s="53"/>
      <c r="O19" s="18"/>
      <c r="P19" s="18"/>
      <c r="Q19" s="18"/>
      <c r="R19" s="54"/>
      <c r="S19" s="53"/>
      <c r="T19" s="18"/>
      <c r="U19" s="18"/>
      <c r="V19" s="18"/>
      <c r="W19" s="54"/>
      <c r="X19" s="43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25"/>
      <c r="AS19" s="4"/>
      <c r="AT19" s="4"/>
      <c r="AU19" s="4"/>
      <c r="AV19" s="4"/>
      <c r="AW19" s="4"/>
      <c r="AX19" s="4"/>
    </row>
    <row r="20" spans="1:50" ht="45" x14ac:dyDescent="0.25">
      <c r="A20" s="13" t="s">
        <v>62</v>
      </c>
      <c r="B20" s="6" t="s">
        <v>154</v>
      </c>
      <c r="C20" s="37" t="s">
        <v>2</v>
      </c>
      <c r="D20" s="57">
        <v>46.1</v>
      </c>
      <c r="E20" s="30">
        <f>51.7</f>
        <v>51.7</v>
      </c>
      <c r="F20" s="9"/>
      <c r="G20" s="9"/>
      <c r="H20" s="56">
        <v>19.149999999999999</v>
      </c>
      <c r="I20" s="55">
        <v>51.96</v>
      </c>
      <c r="J20" s="30">
        <v>52.7</v>
      </c>
      <c r="K20" s="9"/>
      <c r="L20" s="9"/>
      <c r="M20" s="58">
        <v>19.399999999999999</v>
      </c>
      <c r="N20" s="57">
        <v>52</v>
      </c>
      <c r="O20" s="9">
        <v>53.3</v>
      </c>
      <c r="P20" s="9"/>
      <c r="Q20" s="9"/>
      <c r="R20" s="56">
        <v>19.32</v>
      </c>
      <c r="S20" s="55">
        <v>48.06</v>
      </c>
      <c r="T20" s="9">
        <v>51.68</v>
      </c>
      <c r="U20" s="9"/>
      <c r="V20" s="9"/>
      <c r="W20" s="56">
        <v>19.39</v>
      </c>
      <c r="X20" s="44"/>
      <c r="Y20" s="9"/>
      <c r="Z20" s="30">
        <v>10.4</v>
      </c>
      <c r="AA20" s="9"/>
      <c r="AB20" s="9">
        <v>9.4</v>
      </c>
      <c r="AC20" s="9">
        <v>16.04</v>
      </c>
      <c r="AD20" s="9">
        <v>10.4</v>
      </c>
      <c r="AE20" s="9"/>
      <c r="AF20" s="9"/>
      <c r="AG20" s="9">
        <v>8.56</v>
      </c>
      <c r="AH20" s="9"/>
      <c r="AI20" s="9">
        <v>4.66</v>
      </c>
      <c r="AJ20" s="9"/>
      <c r="AK20" s="9">
        <v>25.28</v>
      </c>
      <c r="AL20" s="9"/>
      <c r="AM20" s="9"/>
      <c r="AN20" s="9"/>
      <c r="AO20" s="9"/>
      <c r="AP20" s="9"/>
      <c r="AQ20" s="9"/>
      <c r="AR20" s="25">
        <f>SUM(D20:AQ20)</f>
        <v>569.49999999999977</v>
      </c>
      <c r="AS20" s="93"/>
      <c r="AT20" s="93"/>
      <c r="AU20" s="93"/>
      <c r="AV20" s="93"/>
      <c r="AW20" s="93"/>
      <c r="AX20" s="93"/>
    </row>
    <row r="21" spans="1:50" ht="30" x14ac:dyDescent="0.25">
      <c r="A21" s="13" t="s">
        <v>63</v>
      </c>
      <c r="B21" s="6" t="s">
        <v>188</v>
      </c>
      <c r="C21" s="37" t="s">
        <v>2</v>
      </c>
      <c r="D21" s="57">
        <f>D20</f>
        <v>46.1</v>
      </c>
      <c r="E21" s="30">
        <f>E20</f>
        <v>51.7</v>
      </c>
      <c r="F21" s="9"/>
      <c r="G21" s="9"/>
      <c r="H21" s="56">
        <f>H20</f>
        <v>19.149999999999999</v>
      </c>
      <c r="I21" s="55">
        <f>I20</f>
        <v>51.96</v>
      </c>
      <c r="J21" s="30">
        <f>J20</f>
        <v>52.7</v>
      </c>
      <c r="K21" s="9"/>
      <c r="L21" s="9"/>
      <c r="M21" s="58">
        <f>M20</f>
        <v>19.399999999999999</v>
      </c>
      <c r="N21" s="57">
        <f>N20</f>
        <v>52</v>
      </c>
      <c r="O21" s="9">
        <f>O20</f>
        <v>53.3</v>
      </c>
      <c r="P21" s="9"/>
      <c r="Q21" s="9"/>
      <c r="R21" s="56">
        <f>R20</f>
        <v>19.32</v>
      </c>
      <c r="S21" s="55">
        <f>S20</f>
        <v>48.06</v>
      </c>
      <c r="T21" s="9">
        <f>T20</f>
        <v>51.68</v>
      </c>
      <c r="U21" s="9"/>
      <c r="V21" s="9"/>
      <c r="W21" s="56">
        <f>W20</f>
        <v>19.39</v>
      </c>
      <c r="X21" s="44"/>
      <c r="Y21" s="9"/>
      <c r="Z21" s="9">
        <f>Z20</f>
        <v>10.4</v>
      </c>
      <c r="AA21" s="9"/>
      <c r="AB21" s="9">
        <f>AB20</f>
        <v>9.4</v>
      </c>
      <c r="AC21" s="9">
        <f>AC20</f>
        <v>16.04</v>
      </c>
      <c r="AD21" s="9">
        <f>AD20</f>
        <v>10.4</v>
      </c>
      <c r="AE21" s="9"/>
      <c r="AF21" s="9"/>
      <c r="AG21" s="9">
        <f>AG20</f>
        <v>8.56</v>
      </c>
      <c r="AH21" s="9"/>
      <c r="AI21" s="9">
        <f>AI20</f>
        <v>4.66</v>
      </c>
      <c r="AJ21" s="9"/>
      <c r="AK21" s="9">
        <f>AK20</f>
        <v>25.28</v>
      </c>
      <c r="AL21" s="9"/>
      <c r="AM21" s="9"/>
      <c r="AN21" s="9"/>
      <c r="AO21" s="9"/>
      <c r="AP21" s="9"/>
      <c r="AQ21" s="9"/>
      <c r="AR21" s="25">
        <f t="shared" ref="AR21" si="0">SUM(D21:AQ21)</f>
        <v>569.49999999999977</v>
      </c>
      <c r="AS21" s="93"/>
      <c r="AT21" s="93"/>
      <c r="AU21" s="93"/>
      <c r="AV21" s="93"/>
      <c r="AW21" s="93"/>
      <c r="AX21" s="93"/>
    </row>
    <row r="22" spans="1:50" s="110" customFormat="1" x14ac:dyDescent="0.25">
      <c r="A22" s="98" t="s">
        <v>64</v>
      </c>
      <c r="B22" s="99" t="s">
        <v>90</v>
      </c>
      <c r="C22" s="100" t="s">
        <v>2</v>
      </c>
      <c r="D22" s="101">
        <f>D20</f>
        <v>46.1</v>
      </c>
      <c r="E22" s="102">
        <f>E20</f>
        <v>51.7</v>
      </c>
      <c r="F22" s="103"/>
      <c r="G22" s="103"/>
      <c r="H22" s="104">
        <f>H20</f>
        <v>19.149999999999999</v>
      </c>
      <c r="I22" s="105">
        <f>I20</f>
        <v>51.96</v>
      </c>
      <c r="J22" s="102">
        <f>J20</f>
        <v>52.7</v>
      </c>
      <c r="K22" s="103"/>
      <c r="L22" s="103"/>
      <c r="M22" s="106">
        <f>M20</f>
        <v>19.399999999999999</v>
      </c>
      <c r="N22" s="101">
        <f>N20</f>
        <v>52</v>
      </c>
      <c r="O22" s="103">
        <f>O20</f>
        <v>53.3</v>
      </c>
      <c r="P22" s="103"/>
      <c r="Q22" s="103"/>
      <c r="R22" s="104">
        <f>R20</f>
        <v>19.32</v>
      </c>
      <c r="S22" s="105">
        <f>S20</f>
        <v>48.06</v>
      </c>
      <c r="T22" s="103">
        <f>T20</f>
        <v>51.68</v>
      </c>
      <c r="U22" s="103"/>
      <c r="V22" s="103"/>
      <c r="W22" s="104">
        <f>W20</f>
        <v>19.39</v>
      </c>
      <c r="X22" s="107"/>
      <c r="Y22" s="103"/>
      <c r="Z22" s="103">
        <f>Z20</f>
        <v>10.4</v>
      </c>
      <c r="AA22" s="103"/>
      <c r="AB22" s="103">
        <f>AB20</f>
        <v>9.4</v>
      </c>
      <c r="AC22" s="103">
        <f>AC20</f>
        <v>16.04</v>
      </c>
      <c r="AD22" s="103">
        <f>AD20</f>
        <v>10.4</v>
      </c>
      <c r="AE22" s="103"/>
      <c r="AF22" s="103"/>
      <c r="AG22" s="103">
        <f>AG20</f>
        <v>8.56</v>
      </c>
      <c r="AH22" s="103"/>
      <c r="AI22" s="103">
        <f>AI20</f>
        <v>4.66</v>
      </c>
      <c r="AJ22" s="103"/>
      <c r="AK22" s="103">
        <f>AK20</f>
        <v>25.28</v>
      </c>
      <c r="AL22" s="103"/>
      <c r="AM22" s="103"/>
      <c r="AN22" s="103"/>
      <c r="AO22" s="103"/>
      <c r="AP22" s="103"/>
      <c r="AQ22" s="103"/>
      <c r="AR22" s="108">
        <f>SUM(D22:AQ22)</f>
        <v>569.49999999999977</v>
      </c>
      <c r="AS22" s="109"/>
      <c r="AT22" s="109"/>
      <c r="AU22" s="109"/>
      <c r="AV22" s="109"/>
      <c r="AW22" s="109"/>
      <c r="AX22" s="109"/>
    </row>
    <row r="23" spans="1:50" ht="30" x14ac:dyDescent="0.25">
      <c r="A23" s="13" t="s">
        <v>65</v>
      </c>
      <c r="B23" s="6" t="s">
        <v>197</v>
      </c>
      <c r="C23" s="37" t="s">
        <v>2</v>
      </c>
      <c r="D23" s="57">
        <f>D20</f>
        <v>46.1</v>
      </c>
      <c r="E23" s="30">
        <f>E20</f>
        <v>51.7</v>
      </c>
      <c r="F23" s="9"/>
      <c r="G23" s="9"/>
      <c r="H23" s="56">
        <f>H20</f>
        <v>19.149999999999999</v>
      </c>
      <c r="I23" s="55">
        <f>I20</f>
        <v>51.96</v>
      </c>
      <c r="J23" s="30">
        <f>J20</f>
        <v>52.7</v>
      </c>
      <c r="K23" s="9"/>
      <c r="L23" s="9"/>
      <c r="M23" s="58">
        <f>M20</f>
        <v>19.399999999999999</v>
      </c>
      <c r="N23" s="57">
        <f>N20</f>
        <v>52</v>
      </c>
      <c r="O23" s="9">
        <f>O20</f>
        <v>53.3</v>
      </c>
      <c r="P23" s="9"/>
      <c r="Q23" s="9"/>
      <c r="R23" s="56">
        <f>R20</f>
        <v>19.32</v>
      </c>
      <c r="S23" s="55">
        <f>S20</f>
        <v>48.06</v>
      </c>
      <c r="T23" s="9">
        <f>T20</f>
        <v>51.68</v>
      </c>
      <c r="U23" s="9"/>
      <c r="V23" s="9"/>
      <c r="W23" s="56">
        <f>W20</f>
        <v>19.39</v>
      </c>
      <c r="X23" s="44"/>
      <c r="Y23" s="9"/>
      <c r="Z23" s="9">
        <f>Z20</f>
        <v>10.4</v>
      </c>
      <c r="AA23" s="9"/>
      <c r="AB23" s="9">
        <f>AB20</f>
        <v>9.4</v>
      </c>
      <c r="AC23" s="9">
        <f>AC20</f>
        <v>16.04</v>
      </c>
      <c r="AD23" s="9">
        <f>AD20</f>
        <v>10.4</v>
      </c>
      <c r="AE23" s="9"/>
      <c r="AF23" s="9"/>
      <c r="AG23" s="9">
        <f>AG20</f>
        <v>8.56</v>
      </c>
      <c r="AH23" s="9"/>
      <c r="AI23" s="9">
        <f>AI20</f>
        <v>4.66</v>
      </c>
      <c r="AJ23" s="9"/>
      <c r="AK23" s="9">
        <f>AK20</f>
        <v>25.28</v>
      </c>
      <c r="AL23" s="9"/>
      <c r="AM23" s="9"/>
      <c r="AN23" s="9"/>
      <c r="AO23" s="9"/>
      <c r="AP23" s="9"/>
      <c r="AQ23" s="9"/>
      <c r="AR23" s="25">
        <f t="shared" ref="AR23:AR45" si="1">SUM(D23:AQ23)</f>
        <v>569.49999999999977</v>
      </c>
      <c r="AS23" s="93"/>
      <c r="AT23" s="93"/>
      <c r="AU23" s="93"/>
      <c r="AV23" s="93"/>
      <c r="AW23" s="93"/>
      <c r="AX23" s="94" t="s">
        <v>189</v>
      </c>
    </row>
    <row r="24" spans="1:50" x14ac:dyDescent="0.25">
      <c r="A24" s="13" t="s">
        <v>66</v>
      </c>
      <c r="B24" s="6" t="s">
        <v>149</v>
      </c>
      <c r="C24" s="37" t="s">
        <v>3</v>
      </c>
      <c r="D24" s="57">
        <v>26.29</v>
      </c>
      <c r="E24" s="30">
        <v>26.3</v>
      </c>
      <c r="F24" s="9"/>
      <c r="G24" s="9"/>
      <c r="H24" s="58">
        <v>16</v>
      </c>
      <c r="I24" s="69">
        <v>26.26</v>
      </c>
      <c r="J24" s="30">
        <v>28.29</v>
      </c>
      <c r="K24" s="9"/>
      <c r="L24" s="9"/>
      <c r="M24" s="58">
        <v>16</v>
      </c>
      <c r="N24" s="69">
        <v>26.33</v>
      </c>
      <c r="O24" s="30">
        <v>27.08</v>
      </c>
      <c r="P24" s="9"/>
      <c r="Q24" s="9"/>
      <c r="R24" s="58">
        <v>15.66</v>
      </c>
      <c r="S24" s="69">
        <v>26.29</v>
      </c>
      <c r="T24" s="30">
        <v>26.3</v>
      </c>
      <c r="U24" s="9"/>
      <c r="V24" s="9"/>
      <c r="W24" s="58">
        <v>16.12</v>
      </c>
      <c r="X24" s="44"/>
      <c r="Y24" s="9"/>
      <c r="Z24" s="30">
        <v>12.27</v>
      </c>
      <c r="AA24" s="9"/>
      <c r="AB24" s="30">
        <v>12.91</v>
      </c>
      <c r="AC24" s="30">
        <v>15.17</v>
      </c>
      <c r="AD24" s="30">
        <v>12.27</v>
      </c>
      <c r="AE24" s="9"/>
      <c r="AF24" s="9"/>
      <c r="AG24" s="30">
        <v>11.28</v>
      </c>
      <c r="AH24" s="9"/>
      <c r="AI24" s="30">
        <v>8.75</v>
      </c>
      <c r="AJ24" s="9"/>
      <c r="AK24" s="30">
        <v>24.48</v>
      </c>
      <c r="AL24" s="9"/>
      <c r="AM24" s="9"/>
      <c r="AN24" s="9"/>
      <c r="AO24" s="9"/>
      <c r="AP24" s="9"/>
      <c r="AQ24" s="9"/>
      <c r="AR24" s="25">
        <f t="shared" si="1"/>
        <v>374.05</v>
      </c>
      <c r="AS24" s="93"/>
      <c r="AT24" s="93"/>
      <c r="AU24" s="93"/>
      <c r="AV24" s="93"/>
      <c r="AW24" s="93"/>
      <c r="AX24" s="93"/>
    </row>
    <row r="25" spans="1:50" s="3" customFormat="1" ht="28.5" customHeight="1" x14ac:dyDescent="0.25">
      <c r="A25" s="83" t="s">
        <v>8</v>
      </c>
      <c r="B25" s="84" t="s">
        <v>155</v>
      </c>
      <c r="C25" s="38" t="s">
        <v>2</v>
      </c>
      <c r="D25" s="53"/>
      <c r="E25" s="18"/>
      <c r="F25" s="18"/>
      <c r="G25" s="18"/>
      <c r="H25" s="54"/>
      <c r="I25" s="53"/>
      <c r="J25" s="18"/>
      <c r="K25" s="18"/>
      <c r="L25" s="18"/>
      <c r="M25" s="54"/>
      <c r="N25" s="53"/>
      <c r="O25" s="18"/>
      <c r="P25" s="18"/>
      <c r="Q25" s="18"/>
      <c r="R25" s="54"/>
      <c r="S25" s="53"/>
      <c r="T25" s="18"/>
      <c r="U25" s="18"/>
      <c r="V25" s="18"/>
      <c r="W25" s="54"/>
      <c r="X25" s="43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25"/>
      <c r="AS25" s="4"/>
      <c r="AT25" s="4"/>
      <c r="AU25" s="4"/>
      <c r="AV25" s="4"/>
      <c r="AW25" s="4"/>
      <c r="AX25" s="4"/>
    </row>
    <row r="26" spans="1:50" ht="45" x14ac:dyDescent="0.25">
      <c r="A26" s="13" t="s">
        <v>67</v>
      </c>
      <c r="B26" s="6" t="s">
        <v>156</v>
      </c>
      <c r="C26" s="37" t="s">
        <v>2</v>
      </c>
      <c r="D26" s="55"/>
      <c r="E26" s="9"/>
      <c r="F26" s="9">
        <v>8.02</v>
      </c>
      <c r="G26" s="9"/>
      <c r="H26" s="56"/>
      <c r="I26" s="55"/>
      <c r="J26" s="9"/>
      <c r="K26" s="9">
        <v>6.32</v>
      </c>
      <c r="L26" s="9"/>
      <c r="M26" s="56"/>
      <c r="N26" s="55"/>
      <c r="O26" s="9"/>
      <c r="P26" s="9">
        <v>5.94</v>
      </c>
      <c r="Q26" s="9"/>
      <c r="R26" s="56"/>
      <c r="S26" s="55"/>
      <c r="T26" s="9"/>
      <c r="U26" s="9">
        <v>7.54</v>
      </c>
      <c r="V26" s="9"/>
      <c r="W26" s="56"/>
      <c r="X26" s="44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25">
        <f t="shared" si="1"/>
        <v>27.82</v>
      </c>
      <c r="AS26" s="93"/>
      <c r="AT26" s="93"/>
      <c r="AU26" s="93"/>
      <c r="AV26" s="93"/>
      <c r="AW26" s="93"/>
      <c r="AX26" s="93"/>
    </row>
    <row r="27" spans="1:50" ht="31.5" customHeight="1" x14ac:dyDescent="0.25">
      <c r="A27" s="13" t="s">
        <v>68</v>
      </c>
      <c r="B27" s="6" t="s">
        <v>157</v>
      </c>
      <c r="C27" s="37" t="s">
        <v>2</v>
      </c>
      <c r="D27" s="55"/>
      <c r="E27" s="9"/>
      <c r="F27" s="9">
        <f>F26</f>
        <v>8.02</v>
      </c>
      <c r="G27" s="9"/>
      <c r="H27" s="56"/>
      <c r="I27" s="55"/>
      <c r="J27" s="9"/>
      <c r="K27" s="9">
        <f>K26</f>
        <v>6.32</v>
      </c>
      <c r="L27" s="9"/>
      <c r="M27" s="56"/>
      <c r="N27" s="55"/>
      <c r="O27" s="9"/>
      <c r="P27" s="9">
        <f>P26</f>
        <v>5.94</v>
      </c>
      <c r="Q27" s="9"/>
      <c r="R27" s="56"/>
      <c r="S27" s="55"/>
      <c r="T27" s="9"/>
      <c r="U27" s="9">
        <f>U26</f>
        <v>7.54</v>
      </c>
      <c r="V27" s="9"/>
      <c r="W27" s="56"/>
      <c r="X27" s="44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25">
        <f t="shared" si="1"/>
        <v>27.82</v>
      </c>
      <c r="AS27" s="93"/>
      <c r="AT27" s="93"/>
      <c r="AU27" s="93"/>
      <c r="AV27" s="93"/>
      <c r="AW27" s="93"/>
      <c r="AX27" s="93"/>
    </row>
    <row r="28" spans="1:50" ht="31.5" customHeight="1" x14ac:dyDescent="0.25">
      <c r="A28" s="13" t="s">
        <v>69</v>
      </c>
      <c r="B28" s="6" t="s">
        <v>131</v>
      </c>
      <c r="C28" s="37" t="s">
        <v>2</v>
      </c>
      <c r="D28" s="55"/>
      <c r="E28" s="9"/>
      <c r="F28" s="9">
        <f>F26</f>
        <v>8.02</v>
      </c>
      <c r="G28" s="9"/>
      <c r="H28" s="56"/>
      <c r="I28" s="55"/>
      <c r="J28" s="9"/>
      <c r="K28" s="9">
        <f>K26</f>
        <v>6.32</v>
      </c>
      <c r="L28" s="9"/>
      <c r="M28" s="56"/>
      <c r="N28" s="55"/>
      <c r="O28" s="9"/>
      <c r="P28" s="9">
        <f>P26</f>
        <v>5.94</v>
      </c>
      <c r="Q28" s="9"/>
      <c r="R28" s="56"/>
      <c r="S28" s="55"/>
      <c r="T28" s="9"/>
      <c r="U28" s="9">
        <f>U26</f>
        <v>7.54</v>
      </c>
      <c r="V28" s="9"/>
      <c r="W28" s="56"/>
      <c r="X28" s="44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25">
        <f t="shared" si="1"/>
        <v>27.82</v>
      </c>
      <c r="AS28" s="93"/>
      <c r="AT28" s="93"/>
      <c r="AU28" s="93"/>
      <c r="AV28" s="93"/>
      <c r="AW28" s="93"/>
      <c r="AX28" s="93"/>
    </row>
    <row r="29" spans="1:50" ht="30" customHeight="1" x14ac:dyDescent="0.25">
      <c r="A29" s="13" t="s">
        <v>70</v>
      </c>
      <c r="B29" s="6" t="s">
        <v>190</v>
      </c>
      <c r="C29" s="37" t="s">
        <v>2</v>
      </c>
      <c r="D29" s="55"/>
      <c r="E29" s="9"/>
      <c r="F29" s="9">
        <f>F26</f>
        <v>8.02</v>
      </c>
      <c r="G29" s="9"/>
      <c r="H29" s="56"/>
      <c r="I29" s="55"/>
      <c r="J29" s="9"/>
      <c r="K29" s="9">
        <f>K26</f>
        <v>6.32</v>
      </c>
      <c r="L29" s="9"/>
      <c r="M29" s="56"/>
      <c r="N29" s="55"/>
      <c r="O29" s="9"/>
      <c r="P29" s="9">
        <f>P26</f>
        <v>5.94</v>
      </c>
      <c r="Q29" s="9"/>
      <c r="R29" s="56"/>
      <c r="S29" s="55"/>
      <c r="T29" s="9"/>
      <c r="U29" s="9">
        <f>U26</f>
        <v>7.54</v>
      </c>
      <c r="V29" s="9"/>
      <c r="W29" s="56"/>
      <c r="X29" s="44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25">
        <f t="shared" si="1"/>
        <v>27.82</v>
      </c>
      <c r="AS29" s="93"/>
      <c r="AT29" s="93"/>
      <c r="AU29" s="93"/>
      <c r="AV29" s="93"/>
      <c r="AW29" s="93"/>
      <c r="AX29" s="94" t="s">
        <v>191</v>
      </c>
    </row>
    <row r="30" spans="1:50" s="3" customFormat="1" ht="30" x14ac:dyDescent="0.25">
      <c r="A30" s="85" t="s">
        <v>9</v>
      </c>
      <c r="B30" s="84" t="s">
        <v>139</v>
      </c>
      <c r="C30" s="39" t="s">
        <v>2</v>
      </c>
      <c r="D30" s="53"/>
      <c r="E30" s="18"/>
      <c r="F30" s="18"/>
      <c r="G30" s="18"/>
      <c r="H30" s="54"/>
      <c r="I30" s="53"/>
      <c r="J30" s="18"/>
      <c r="K30" s="18"/>
      <c r="L30" s="18"/>
      <c r="M30" s="54"/>
      <c r="N30" s="53"/>
      <c r="O30" s="18"/>
      <c r="P30" s="18"/>
      <c r="Q30" s="18"/>
      <c r="R30" s="54"/>
      <c r="S30" s="53"/>
      <c r="T30" s="18"/>
      <c r="U30" s="18"/>
      <c r="V30" s="18"/>
      <c r="W30" s="54"/>
      <c r="X30" s="43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25"/>
      <c r="AS30" s="4"/>
      <c r="AT30" s="4"/>
      <c r="AU30" s="4"/>
      <c r="AV30" s="4"/>
      <c r="AW30" s="4"/>
      <c r="AX30" s="4"/>
    </row>
    <row r="31" spans="1:50" ht="45" x14ac:dyDescent="0.25">
      <c r="A31" s="13" t="s">
        <v>140</v>
      </c>
      <c r="B31" s="6" t="s">
        <v>156</v>
      </c>
      <c r="C31" s="37" t="s">
        <v>2</v>
      </c>
      <c r="D31" s="55"/>
      <c r="E31" s="9"/>
      <c r="F31" s="9"/>
      <c r="G31" s="30">
        <v>21.9</v>
      </c>
      <c r="H31" s="56"/>
      <c r="I31" s="55"/>
      <c r="J31" s="9"/>
      <c r="K31" s="9"/>
      <c r="L31" s="9">
        <v>21.29</v>
      </c>
      <c r="M31" s="56"/>
      <c r="N31" s="55"/>
      <c r="O31" s="9"/>
      <c r="P31" s="9"/>
      <c r="Q31" s="9">
        <v>21.23</v>
      </c>
      <c r="R31" s="56"/>
      <c r="S31" s="55"/>
      <c r="T31" s="9"/>
      <c r="U31" s="9"/>
      <c r="V31" s="9">
        <v>21.82</v>
      </c>
      <c r="W31" s="56"/>
      <c r="X31" s="44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>
        <v>5.36</v>
      </c>
      <c r="AM31" s="9"/>
      <c r="AN31" s="9"/>
      <c r="AO31" s="9"/>
      <c r="AP31" s="9"/>
      <c r="AQ31" s="9"/>
      <c r="AR31" s="25">
        <f t="shared" si="1"/>
        <v>91.600000000000009</v>
      </c>
      <c r="AS31" s="93"/>
      <c r="AT31" s="93"/>
      <c r="AU31" s="93"/>
      <c r="AV31" s="93"/>
      <c r="AW31" s="93"/>
      <c r="AX31" s="93"/>
    </row>
    <row r="32" spans="1:50" ht="30" x14ac:dyDescent="0.25">
      <c r="A32" s="13" t="s">
        <v>141</v>
      </c>
      <c r="B32" s="6" t="s">
        <v>136</v>
      </c>
      <c r="C32" s="37" t="s">
        <v>2</v>
      </c>
      <c r="D32" s="55"/>
      <c r="E32" s="9"/>
      <c r="F32" s="9"/>
      <c r="G32" s="30">
        <f>G31</f>
        <v>21.9</v>
      </c>
      <c r="H32" s="56"/>
      <c r="I32" s="55"/>
      <c r="J32" s="9"/>
      <c r="K32" s="9"/>
      <c r="L32" s="30">
        <f>L31</f>
        <v>21.29</v>
      </c>
      <c r="M32" s="56"/>
      <c r="N32" s="55"/>
      <c r="O32" s="9"/>
      <c r="P32" s="9"/>
      <c r="Q32" s="30">
        <f>Q31</f>
        <v>21.23</v>
      </c>
      <c r="R32" s="56"/>
      <c r="S32" s="55"/>
      <c r="T32" s="9"/>
      <c r="U32" s="9"/>
      <c r="V32" s="30">
        <f>V31</f>
        <v>21.82</v>
      </c>
      <c r="W32" s="56"/>
      <c r="X32" s="44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30">
        <f>AL31</f>
        <v>5.36</v>
      </c>
      <c r="AM32" s="9"/>
      <c r="AN32" s="9"/>
      <c r="AO32" s="9"/>
      <c r="AP32" s="9"/>
      <c r="AQ32" s="9"/>
      <c r="AR32" s="25">
        <f t="shared" si="1"/>
        <v>91.600000000000009</v>
      </c>
      <c r="AS32" s="93"/>
      <c r="AT32" s="93"/>
      <c r="AU32" s="93"/>
      <c r="AV32" s="93"/>
      <c r="AW32" s="93"/>
      <c r="AX32" s="93"/>
    </row>
    <row r="33" spans="1:50" ht="30" x14ac:dyDescent="0.25">
      <c r="A33" s="13" t="s">
        <v>142</v>
      </c>
      <c r="B33" s="6" t="s">
        <v>131</v>
      </c>
      <c r="C33" s="37" t="s">
        <v>2</v>
      </c>
      <c r="D33" s="55"/>
      <c r="E33" s="9"/>
      <c r="F33" s="9"/>
      <c r="G33" s="30">
        <f>G31</f>
        <v>21.9</v>
      </c>
      <c r="H33" s="56"/>
      <c r="I33" s="55"/>
      <c r="J33" s="9"/>
      <c r="K33" s="9"/>
      <c r="L33" s="30">
        <f>L31</f>
        <v>21.29</v>
      </c>
      <c r="M33" s="56"/>
      <c r="N33" s="55"/>
      <c r="O33" s="9"/>
      <c r="P33" s="9"/>
      <c r="Q33" s="30">
        <f>Q31</f>
        <v>21.23</v>
      </c>
      <c r="R33" s="56"/>
      <c r="S33" s="55"/>
      <c r="T33" s="9"/>
      <c r="U33" s="9"/>
      <c r="V33" s="30">
        <f>V31</f>
        <v>21.82</v>
      </c>
      <c r="W33" s="56"/>
      <c r="X33" s="44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30">
        <f>AL31</f>
        <v>5.36</v>
      </c>
      <c r="AM33" s="9"/>
      <c r="AN33" s="9"/>
      <c r="AO33" s="9"/>
      <c r="AP33" s="9"/>
      <c r="AQ33" s="9"/>
      <c r="AR33" s="25">
        <f t="shared" si="1"/>
        <v>91.600000000000009</v>
      </c>
      <c r="AS33" s="93"/>
      <c r="AT33" s="93"/>
      <c r="AU33" s="93"/>
      <c r="AV33" s="93"/>
      <c r="AW33" s="93"/>
      <c r="AX33" s="93"/>
    </row>
    <row r="34" spans="1:50" ht="30" x14ac:dyDescent="0.25">
      <c r="A34" s="13" t="s">
        <v>71</v>
      </c>
      <c r="B34" s="97" t="s">
        <v>192</v>
      </c>
      <c r="C34" s="37" t="s">
        <v>2</v>
      </c>
      <c r="D34" s="55"/>
      <c r="E34" s="9"/>
      <c r="F34" s="9"/>
      <c r="G34" s="30">
        <f>G31</f>
        <v>21.9</v>
      </c>
      <c r="H34" s="56"/>
      <c r="I34" s="55"/>
      <c r="J34" s="9"/>
      <c r="K34" s="9"/>
      <c r="L34" s="30">
        <f>L31</f>
        <v>21.29</v>
      </c>
      <c r="M34" s="56"/>
      <c r="N34" s="55"/>
      <c r="O34" s="9"/>
      <c r="P34" s="9"/>
      <c r="Q34" s="30">
        <f>Q31</f>
        <v>21.23</v>
      </c>
      <c r="R34" s="56"/>
      <c r="S34" s="55"/>
      <c r="T34" s="9"/>
      <c r="U34" s="9"/>
      <c r="V34" s="30">
        <f>V31</f>
        <v>21.82</v>
      </c>
      <c r="W34" s="56"/>
      <c r="X34" s="44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30">
        <f>AL31</f>
        <v>5.36</v>
      </c>
      <c r="AM34" s="9"/>
      <c r="AN34" s="9"/>
      <c r="AO34" s="9"/>
      <c r="AP34" s="9"/>
      <c r="AQ34" s="9"/>
      <c r="AR34" s="25">
        <f t="shared" si="1"/>
        <v>91.600000000000009</v>
      </c>
      <c r="AS34" s="93"/>
      <c r="AT34" s="93"/>
      <c r="AU34" s="93"/>
      <c r="AV34" s="93"/>
      <c r="AW34" s="93"/>
      <c r="AX34" s="94" t="s">
        <v>191</v>
      </c>
    </row>
    <row r="35" spans="1:50" s="11" customFormat="1" ht="30" x14ac:dyDescent="0.25">
      <c r="A35" s="87" t="s">
        <v>10</v>
      </c>
      <c r="B35" s="84" t="s">
        <v>158</v>
      </c>
      <c r="C35" s="40" t="s">
        <v>2</v>
      </c>
      <c r="D35" s="53"/>
      <c r="E35" s="18"/>
      <c r="F35" s="18"/>
      <c r="G35" s="18"/>
      <c r="H35" s="54"/>
      <c r="I35" s="53"/>
      <c r="J35" s="18"/>
      <c r="K35" s="18"/>
      <c r="L35" s="18"/>
      <c r="M35" s="54"/>
      <c r="N35" s="53"/>
      <c r="O35" s="18"/>
      <c r="P35" s="18"/>
      <c r="Q35" s="18"/>
      <c r="R35" s="54"/>
      <c r="S35" s="53"/>
      <c r="T35" s="18"/>
      <c r="U35" s="18"/>
      <c r="V35" s="18"/>
      <c r="W35" s="54"/>
      <c r="X35" s="43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25"/>
      <c r="AS35" s="96"/>
      <c r="AT35" s="96"/>
      <c r="AU35" s="96"/>
      <c r="AV35" s="96"/>
      <c r="AW35" s="96"/>
      <c r="AX35" s="96"/>
    </row>
    <row r="36" spans="1:50" ht="45" x14ac:dyDescent="0.25">
      <c r="A36" s="13" t="s">
        <v>72</v>
      </c>
      <c r="B36" s="6" t="s">
        <v>156</v>
      </c>
      <c r="C36" s="37" t="s">
        <v>2</v>
      </c>
      <c r="D36" s="55"/>
      <c r="E36" s="9"/>
      <c r="F36" s="9"/>
      <c r="G36" s="9"/>
      <c r="H36" s="56"/>
      <c r="I36" s="55"/>
      <c r="J36" s="9"/>
      <c r="K36" s="9"/>
      <c r="L36" s="9"/>
      <c r="M36" s="56"/>
      <c r="N36" s="55"/>
      <c r="O36" s="9"/>
      <c r="P36" s="9"/>
      <c r="Q36" s="9"/>
      <c r="R36" s="56"/>
      <c r="S36" s="55"/>
      <c r="T36" s="9"/>
      <c r="U36" s="9"/>
      <c r="V36" s="9"/>
      <c r="W36" s="56"/>
      <c r="X36" s="45">
        <v>106.68</v>
      </c>
      <c r="Y36" s="30">
        <v>67.7</v>
      </c>
      <c r="Z36" s="9"/>
      <c r="AA36" s="9"/>
      <c r="AB36" s="9"/>
      <c r="AC36" s="9"/>
      <c r="AD36" s="9"/>
      <c r="AE36" s="9"/>
      <c r="AF36" s="30">
        <v>5.13</v>
      </c>
      <c r="AG36" s="9"/>
      <c r="AH36" s="9">
        <v>21.96</v>
      </c>
      <c r="AI36" s="9"/>
      <c r="AJ36" s="30">
        <v>6.1</v>
      </c>
      <c r="AK36" s="9"/>
      <c r="AL36" s="9"/>
      <c r="AM36" s="9"/>
      <c r="AN36" s="9"/>
      <c r="AO36" s="9"/>
      <c r="AP36" s="9"/>
      <c r="AQ36" s="9"/>
      <c r="AR36" s="25">
        <f t="shared" si="1"/>
        <v>207.57</v>
      </c>
      <c r="AS36" s="93"/>
      <c r="AT36" s="93"/>
      <c r="AU36" s="93"/>
      <c r="AV36" s="93"/>
      <c r="AW36" s="93"/>
      <c r="AX36" s="93"/>
    </row>
    <row r="37" spans="1:50" ht="30" x14ac:dyDescent="0.25">
      <c r="A37" s="13" t="s">
        <v>73</v>
      </c>
      <c r="B37" s="6" t="s">
        <v>137</v>
      </c>
      <c r="C37" s="37" t="s">
        <v>2</v>
      </c>
      <c r="D37" s="55"/>
      <c r="E37" s="9"/>
      <c r="F37" s="9"/>
      <c r="G37" s="9"/>
      <c r="H37" s="56"/>
      <c r="I37" s="55"/>
      <c r="J37" s="9"/>
      <c r="K37" s="9"/>
      <c r="L37" s="9"/>
      <c r="M37" s="56"/>
      <c r="N37" s="55"/>
      <c r="O37" s="9"/>
      <c r="P37" s="9"/>
      <c r="Q37" s="9"/>
      <c r="R37" s="56"/>
      <c r="S37" s="55"/>
      <c r="T37" s="9"/>
      <c r="U37" s="9"/>
      <c r="V37" s="9"/>
      <c r="W37" s="56"/>
      <c r="X37" s="45">
        <f>X36</f>
        <v>106.68</v>
      </c>
      <c r="Y37" s="45">
        <f>Y36</f>
        <v>67.7</v>
      </c>
      <c r="Z37" s="9"/>
      <c r="AA37" s="9"/>
      <c r="AB37" s="9"/>
      <c r="AC37" s="9"/>
      <c r="AD37" s="9"/>
      <c r="AE37" s="9"/>
      <c r="AF37" s="45">
        <f>AF36</f>
        <v>5.13</v>
      </c>
      <c r="AG37" s="9"/>
      <c r="AH37" s="45">
        <f>AH36</f>
        <v>21.96</v>
      </c>
      <c r="AI37" s="9"/>
      <c r="AJ37" s="45">
        <f>AJ36</f>
        <v>6.1</v>
      </c>
      <c r="AK37" s="9"/>
      <c r="AL37" s="9"/>
      <c r="AM37" s="9"/>
      <c r="AN37" s="9"/>
      <c r="AO37" s="9"/>
      <c r="AP37" s="9"/>
      <c r="AQ37" s="9"/>
      <c r="AR37" s="25">
        <f t="shared" si="1"/>
        <v>207.57</v>
      </c>
      <c r="AS37" s="93"/>
      <c r="AT37" s="93"/>
      <c r="AU37" s="93"/>
      <c r="AV37" s="93"/>
      <c r="AW37" s="93"/>
      <c r="AX37" s="93"/>
    </row>
    <row r="38" spans="1:50" ht="30" x14ac:dyDescent="0.25">
      <c r="A38" s="13" t="s">
        <v>74</v>
      </c>
      <c r="B38" s="97" t="s">
        <v>193</v>
      </c>
      <c r="C38" s="37" t="s">
        <v>2</v>
      </c>
      <c r="D38" s="55"/>
      <c r="E38" s="9"/>
      <c r="F38" s="9"/>
      <c r="G38" s="9"/>
      <c r="H38" s="56"/>
      <c r="I38" s="55"/>
      <c r="J38" s="9"/>
      <c r="K38" s="9"/>
      <c r="L38" s="9"/>
      <c r="M38" s="56"/>
      <c r="N38" s="55"/>
      <c r="O38" s="9"/>
      <c r="P38" s="9"/>
      <c r="Q38" s="9"/>
      <c r="R38" s="56"/>
      <c r="S38" s="55"/>
      <c r="T38" s="9"/>
      <c r="U38" s="9"/>
      <c r="V38" s="9"/>
      <c r="W38" s="56"/>
      <c r="X38" s="45">
        <f>X36</f>
        <v>106.68</v>
      </c>
      <c r="Y38" s="45">
        <f>Y36</f>
        <v>67.7</v>
      </c>
      <c r="Z38" s="9"/>
      <c r="AA38" s="9"/>
      <c r="AB38" s="9"/>
      <c r="AC38" s="9"/>
      <c r="AD38" s="9"/>
      <c r="AE38" s="9"/>
      <c r="AF38" s="45">
        <f>AF36</f>
        <v>5.13</v>
      </c>
      <c r="AG38" s="9"/>
      <c r="AH38" s="45">
        <f>AH36</f>
        <v>21.96</v>
      </c>
      <c r="AI38" s="9"/>
      <c r="AJ38" s="45">
        <f>AJ36</f>
        <v>6.1</v>
      </c>
      <c r="AK38" s="9"/>
      <c r="AL38" s="9"/>
      <c r="AM38" s="9"/>
      <c r="AN38" s="9"/>
      <c r="AO38" s="9"/>
      <c r="AP38" s="9"/>
      <c r="AQ38" s="9"/>
      <c r="AR38" s="25">
        <f t="shared" si="1"/>
        <v>207.57</v>
      </c>
      <c r="AS38" s="93"/>
      <c r="AT38" s="93"/>
      <c r="AU38" s="93"/>
      <c r="AV38" s="93"/>
      <c r="AW38" s="93"/>
      <c r="AX38" s="94" t="s">
        <v>186</v>
      </c>
    </row>
    <row r="39" spans="1:50" x14ac:dyDescent="0.25">
      <c r="A39" s="13" t="s">
        <v>75</v>
      </c>
      <c r="B39" s="8" t="s">
        <v>184</v>
      </c>
      <c r="C39" s="41" t="s">
        <v>3</v>
      </c>
      <c r="D39" s="55"/>
      <c r="E39" s="9"/>
      <c r="F39" s="9"/>
      <c r="G39" s="9"/>
      <c r="H39" s="56"/>
      <c r="I39" s="55"/>
      <c r="J39" s="9"/>
      <c r="K39" s="9"/>
      <c r="L39" s="9"/>
      <c r="M39" s="56"/>
      <c r="N39" s="55"/>
      <c r="O39" s="9"/>
      <c r="P39" s="9"/>
      <c r="Q39" s="9"/>
      <c r="R39" s="56"/>
      <c r="S39" s="55"/>
      <c r="T39" s="9"/>
      <c r="U39" s="9"/>
      <c r="V39" s="9"/>
      <c r="W39" s="56"/>
      <c r="X39" s="45">
        <f>94-(1.6*6+1.4+1.05*9+1.1)</f>
        <v>72.449999999999989</v>
      </c>
      <c r="Y39" s="45">
        <f>72.84-(1.6*4+1.05*9)</f>
        <v>56.99</v>
      </c>
      <c r="Z39" s="9"/>
      <c r="AA39" s="9"/>
      <c r="AB39" s="9"/>
      <c r="AC39" s="9"/>
      <c r="AD39" s="9"/>
      <c r="AE39" s="9"/>
      <c r="AF39" s="45">
        <f>9.76-(1.6+1.18)</f>
        <v>6.9799999999999995</v>
      </c>
      <c r="AG39" s="9"/>
      <c r="AH39" s="45">
        <f>23.66-(1.4+8.9)</f>
        <v>13.36</v>
      </c>
      <c r="AI39" s="9"/>
      <c r="AJ39" s="45">
        <f>12.6-1.05</f>
        <v>11.549999999999999</v>
      </c>
      <c r="AK39" s="9"/>
      <c r="AL39" s="9"/>
      <c r="AM39" s="9"/>
      <c r="AN39" s="9"/>
      <c r="AO39" s="9"/>
      <c r="AP39" s="9"/>
      <c r="AQ39" s="9"/>
      <c r="AR39" s="25">
        <f t="shared" si="1"/>
        <v>161.32999999999998</v>
      </c>
      <c r="AS39" s="93"/>
      <c r="AT39" s="93"/>
      <c r="AU39" s="93"/>
      <c r="AV39" s="93"/>
      <c r="AW39" s="93"/>
      <c r="AX39" s="94" t="s">
        <v>187</v>
      </c>
    </row>
    <row r="40" spans="1:50" s="3" customFormat="1" ht="30" x14ac:dyDescent="0.25">
      <c r="A40" s="14" t="s">
        <v>11</v>
      </c>
      <c r="B40" s="36" t="s">
        <v>195</v>
      </c>
      <c r="C40" s="38"/>
      <c r="D40" s="53"/>
      <c r="E40" s="18"/>
      <c r="F40" s="18"/>
      <c r="G40" s="18"/>
      <c r="H40" s="54"/>
      <c r="I40" s="53"/>
      <c r="J40" s="18"/>
      <c r="K40" s="18"/>
      <c r="L40" s="18"/>
      <c r="M40" s="54"/>
      <c r="N40" s="53"/>
      <c r="O40" s="18"/>
      <c r="P40" s="18"/>
      <c r="Q40" s="18"/>
      <c r="R40" s="54"/>
      <c r="S40" s="53"/>
      <c r="T40" s="18"/>
      <c r="U40" s="18"/>
      <c r="V40" s="18"/>
      <c r="W40" s="54"/>
      <c r="X40" s="43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25"/>
      <c r="AS40" s="4"/>
      <c r="AT40" s="4"/>
      <c r="AU40" s="4"/>
      <c r="AV40" s="4"/>
      <c r="AW40" s="4"/>
      <c r="AX40" s="4"/>
    </row>
    <row r="41" spans="1:50" ht="45" x14ac:dyDescent="0.25">
      <c r="A41" s="13" t="s">
        <v>76</v>
      </c>
      <c r="B41" s="6" t="s">
        <v>156</v>
      </c>
      <c r="C41" s="37" t="s">
        <v>2</v>
      </c>
      <c r="D41" s="55"/>
      <c r="E41" s="9"/>
      <c r="F41" s="9"/>
      <c r="G41" s="9"/>
      <c r="H41" s="56"/>
      <c r="I41" s="55"/>
      <c r="J41" s="9"/>
      <c r="K41" s="9"/>
      <c r="L41" s="9"/>
      <c r="M41" s="56"/>
      <c r="N41" s="55"/>
      <c r="O41" s="9"/>
      <c r="P41" s="9"/>
      <c r="Q41" s="9"/>
      <c r="R41" s="56"/>
      <c r="S41" s="55"/>
      <c r="T41" s="9"/>
      <c r="U41" s="9"/>
      <c r="V41" s="9"/>
      <c r="W41" s="56"/>
      <c r="X41" s="44"/>
      <c r="Y41" s="9"/>
      <c r="Z41" s="9"/>
      <c r="AA41" s="18">
        <v>13.93</v>
      </c>
      <c r="AB41" s="9"/>
      <c r="AC41" s="9"/>
      <c r="AD41" s="9"/>
      <c r="AE41" s="18">
        <v>15.85</v>
      </c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25">
        <f t="shared" si="1"/>
        <v>29.78</v>
      </c>
      <c r="AS41" s="93"/>
      <c r="AT41" s="93"/>
      <c r="AU41" s="93"/>
      <c r="AV41" s="93"/>
      <c r="AW41" s="93"/>
      <c r="AX41" s="93"/>
    </row>
    <row r="42" spans="1:50" ht="30" x14ac:dyDescent="0.25">
      <c r="A42" s="13" t="s">
        <v>77</v>
      </c>
      <c r="B42" s="6" t="s">
        <v>151</v>
      </c>
      <c r="C42" s="37" t="s">
        <v>2</v>
      </c>
      <c r="D42" s="55"/>
      <c r="E42" s="9"/>
      <c r="F42" s="9"/>
      <c r="G42" s="9"/>
      <c r="H42" s="56"/>
      <c r="I42" s="55"/>
      <c r="J42" s="9"/>
      <c r="K42" s="9"/>
      <c r="L42" s="9"/>
      <c r="M42" s="56"/>
      <c r="N42" s="55"/>
      <c r="O42" s="9"/>
      <c r="P42" s="9"/>
      <c r="Q42" s="9"/>
      <c r="R42" s="56"/>
      <c r="S42" s="55"/>
      <c r="T42" s="9"/>
      <c r="U42" s="9"/>
      <c r="V42" s="9"/>
      <c r="W42" s="56"/>
      <c r="X42" s="44"/>
      <c r="Y42" s="9"/>
      <c r="Z42" s="9"/>
      <c r="AA42" s="9">
        <f>AA41</f>
        <v>13.93</v>
      </c>
      <c r="AB42" s="9"/>
      <c r="AC42" s="9"/>
      <c r="AD42" s="9"/>
      <c r="AE42" s="9">
        <f>AE41</f>
        <v>15.85</v>
      </c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25">
        <f t="shared" si="1"/>
        <v>29.78</v>
      </c>
      <c r="AS42" s="93"/>
      <c r="AT42" s="93"/>
      <c r="AU42" s="93"/>
      <c r="AV42" s="93"/>
      <c r="AW42" s="93"/>
      <c r="AX42" s="93"/>
    </row>
    <row r="43" spans="1:50" s="110" customFormat="1" x14ac:dyDescent="0.25">
      <c r="A43" s="98" t="s">
        <v>78</v>
      </c>
      <c r="B43" s="99" t="s">
        <v>90</v>
      </c>
      <c r="C43" s="100" t="s">
        <v>2</v>
      </c>
      <c r="D43" s="105"/>
      <c r="E43" s="103"/>
      <c r="F43" s="103"/>
      <c r="G43" s="103"/>
      <c r="H43" s="104"/>
      <c r="I43" s="105"/>
      <c r="J43" s="103"/>
      <c r="K43" s="103"/>
      <c r="L43" s="103"/>
      <c r="M43" s="104"/>
      <c r="N43" s="105"/>
      <c r="O43" s="103"/>
      <c r="P43" s="103"/>
      <c r="Q43" s="103"/>
      <c r="R43" s="104"/>
      <c r="S43" s="105"/>
      <c r="T43" s="103"/>
      <c r="U43" s="103"/>
      <c r="V43" s="103"/>
      <c r="W43" s="104"/>
      <c r="X43" s="107"/>
      <c r="Y43" s="103"/>
      <c r="Z43" s="103"/>
      <c r="AA43" s="103">
        <f>AA41</f>
        <v>13.93</v>
      </c>
      <c r="AB43" s="103"/>
      <c r="AC43" s="103"/>
      <c r="AD43" s="103"/>
      <c r="AE43" s="103">
        <f>AE41</f>
        <v>15.85</v>
      </c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11">
        <f t="shared" si="1"/>
        <v>29.78</v>
      </c>
      <c r="AS43" s="109"/>
      <c r="AT43" s="109"/>
      <c r="AU43" s="109"/>
      <c r="AV43" s="109"/>
      <c r="AW43" s="109"/>
      <c r="AX43" s="109"/>
    </row>
    <row r="44" spans="1:50" x14ac:dyDescent="0.25">
      <c r="A44" s="13" t="s">
        <v>79</v>
      </c>
      <c r="B44" s="6" t="s">
        <v>194</v>
      </c>
      <c r="C44" s="37" t="s">
        <v>2</v>
      </c>
      <c r="D44" s="55"/>
      <c r="E44" s="9"/>
      <c r="F44" s="9"/>
      <c r="G44" s="9"/>
      <c r="H44" s="56"/>
      <c r="I44" s="55"/>
      <c r="J44" s="9"/>
      <c r="K44" s="9"/>
      <c r="L44" s="9"/>
      <c r="M44" s="56"/>
      <c r="N44" s="55"/>
      <c r="O44" s="9"/>
      <c r="P44" s="9"/>
      <c r="Q44" s="9"/>
      <c r="R44" s="56"/>
      <c r="S44" s="55"/>
      <c r="T44" s="9"/>
      <c r="U44" s="9"/>
      <c r="V44" s="9"/>
      <c r="W44" s="56"/>
      <c r="X44" s="44"/>
      <c r="Y44" s="9"/>
      <c r="Z44" s="9"/>
      <c r="AA44" s="9">
        <f>AA41</f>
        <v>13.93</v>
      </c>
      <c r="AB44" s="9"/>
      <c r="AC44" s="9"/>
      <c r="AD44" s="9"/>
      <c r="AE44" s="9">
        <f>AE41</f>
        <v>15.85</v>
      </c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25">
        <f t="shared" si="1"/>
        <v>29.78</v>
      </c>
      <c r="AS44" s="93"/>
      <c r="AT44" s="93"/>
      <c r="AU44" s="93"/>
      <c r="AV44" s="93"/>
      <c r="AW44" s="93"/>
      <c r="AX44" s="94" t="s">
        <v>196</v>
      </c>
    </row>
    <row r="45" spans="1:50" x14ac:dyDescent="0.25">
      <c r="A45" s="13" t="s">
        <v>159</v>
      </c>
      <c r="B45" s="6" t="s">
        <v>150</v>
      </c>
      <c r="C45" s="37" t="s">
        <v>3</v>
      </c>
      <c r="D45" s="55"/>
      <c r="E45" s="9"/>
      <c r="F45" s="9"/>
      <c r="G45" s="9"/>
      <c r="H45" s="56"/>
      <c r="I45" s="55"/>
      <c r="J45" s="9"/>
      <c r="K45" s="9"/>
      <c r="L45" s="9"/>
      <c r="M45" s="56"/>
      <c r="N45" s="55"/>
      <c r="O45" s="9"/>
      <c r="P45" s="9"/>
      <c r="Q45" s="9"/>
      <c r="R45" s="56"/>
      <c r="S45" s="55"/>
      <c r="T45" s="9"/>
      <c r="U45" s="9"/>
      <c r="V45" s="9"/>
      <c r="W45" s="56"/>
      <c r="X45" s="44"/>
      <c r="Y45" s="9"/>
      <c r="Z45" s="9"/>
      <c r="AA45" s="9">
        <f>14.9-1.05</f>
        <v>13.85</v>
      </c>
      <c r="AB45" s="9"/>
      <c r="AC45" s="9"/>
      <c r="AD45" s="9"/>
      <c r="AE45" s="9">
        <f>17.46-1.05</f>
        <v>16.41</v>
      </c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25">
        <f t="shared" si="1"/>
        <v>30.259999999999998</v>
      </c>
      <c r="AS45" s="93"/>
      <c r="AT45" s="93"/>
      <c r="AU45" s="93"/>
      <c r="AV45" s="93"/>
      <c r="AW45" s="93"/>
      <c r="AX45" s="93"/>
    </row>
    <row r="46" spans="1:50" ht="9.75" customHeight="1" x14ac:dyDescent="0.25">
      <c r="A46" s="13"/>
      <c r="B46" s="29"/>
      <c r="C46" s="37"/>
      <c r="D46" s="55"/>
      <c r="E46" s="9"/>
      <c r="F46" s="9"/>
      <c r="G46" s="9"/>
      <c r="H46" s="56"/>
      <c r="I46" s="55"/>
      <c r="J46" s="9"/>
      <c r="K46" s="9"/>
      <c r="L46" s="9"/>
      <c r="M46" s="56"/>
      <c r="N46" s="55"/>
      <c r="O46" s="9"/>
      <c r="P46" s="9"/>
      <c r="Q46" s="9"/>
      <c r="R46" s="56"/>
      <c r="S46" s="55"/>
      <c r="T46" s="9"/>
      <c r="U46" s="9"/>
      <c r="V46" s="9"/>
      <c r="W46" s="56"/>
      <c r="X46" s="44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25"/>
      <c r="AS46" s="93"/>
      <c r="AT46" s="93"/>
      <c r="AU46" s="93"/>
      <c r="AV46" s="93"/>
      <c r="AW46" s="93"/>
      <c r="AX46" s="93"/>
    </row>
    <row r="47" spans="1:50" x14ac:dyDescent="0.25">
      <c r="A47" s="88" t="s">
        <v>12</v>
      </c>
      <c r="B47" s="17" t="s">
        <v>130</v>
      </c>
      <c r="C47" s="37"/>
      <c r="D47" s="55"/>
      <c r="E47" s="9"/>
      <c r="F47" s="9"/>
      <c r="G47" s="9"/>
      <c r="H47" s="56"/>
      <c r="I47" s="55"/>
      <c r="J47" s="9"/>
      <c r="K47" s="9"/>
      <c r="L47" s="9"/>
      <c r="M47" s="56"/>
      <c r="N47" s="55"/>
      <c r="O47" s="9"/>
      <c r="P47" s="9"/>
      <c r="Q47" s="9"/>
      <c r="R47" s="56"/>
      <c r="S47" s="55"/>
      <c r="T47" s="9"/>
      <c r="U47" s="9"/>
      <c r="V47" s="9"/>
      <c r="W47" s="56"/>
      <c r="X47" s="44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25"/>
      <c r="AS47" s="93"/>
      <c r="AT47" s="93"/>
      <c r="AU47" s="93"/>
      <c r="AV47" s="93"/>
      <c r="AW47" s="93"/>
      <c r="AX47" s="93"/>
    </row>
    <row r="48" spans="1:50" ht="78" customHeight="1" x14ac:dyDescent="0.25">
      <c r="A48" s="13" t="s">
        <v>13</v>
      </c>
      <c r="B48" s="7" t="s">
        <v>198</v>
      </c>
      <c r="C48" s="37" t="s">
        <v>2</v>
      </c>
      <c r="D48" s="57">
        <v>45.7</v>
      </c>
      <c r="E48" s="30">
        <v>51.2</v>
      </c>
      <c r="F48" s="9">
        <v>7.7</v>
      </c>
      <c r="G48" s="9"/>
      <c r="H48" s="56">
        <v>18.61</v>
      </c>
      <c r="I48" s="55">
        <v>51.62</v>
      </c>
      <c r="J48" s="9">
        <v>52.49</v>
      </c>
      <c r="K48" s="9">
        <v>6.04</v>
      </c>
      <c r="L48" s="9"/>
      <c r="M48" s="56">
        <v>18.95</v>
      </c>
      <c r="N48" s="55">
        <v>51.62</v>
      </c>
      <c r="O48" s="9">
        <v>52.95</v>
      </c>
      <c r="P48" s="9">
        <v>5.66</v>
      </c>
      <c r="Q48" s="9"/>
      <c r="R48" s="58">
        <v>19.02</v>
      </c>
      <c r="S48" s="55">
        <v>45.68</v>
      </c>
      <c r="T48" s="9">
        <v>51.19</v>
      </c>
      <c r="U48" s="9">
        <v>7.27</v>
      </c>
      <c r="V48" s="9"/>
      <c r="W48" s="56">
        <v>19.03</v>
      </c>
      <c r="X48" s="44">
        <v>104.38</v>
      </c>
      <c r="Y48" s="9">
        <v>66.05</v>
      </c>
      <c r="Z48" s="30">
        <v>10.3</v>
      </c>
      <c r="AA48" s="9">
        <v>13.82</v>
      </c>
      <c r="AB48" s="9">
        <v>9.2200000000000006</v>
      </c>
      <c r="AC48" s="9">
        <v>15.93</v>
      </c>
      <c r="AD48" s="30">
        <v>10.3</v>
      </c>
      <c r="AE48" s="9">
        <v>15.71</v>
      </c>
      <c r="AF48" s="9"/>
      <c r="AG48" s="9"/>
      <c r="AH48" s="9"/>
      <c r="AI48" s="9"/>
      <c r="AJ48" s="9"/>
      <c r="AK48" s="9">
        <v>24.76</v>
      </c>
      <c r="AL48" s="9"/>
      <c r="AM48" s="9"/>
      <c r="AN48" s="9"/>
      <c r="AO48" s="9"/>
      <c r="AP48" s="9"/>
      <c r="AQ48" s="9"/>
      <c r="AR48" s="25">
        <f t="shared" ref="AR48:AR51" si="2">SUM(D48:AQ48)</f>
        <v>775.19999999999993</v>
      </c>
      <c r="AS48" s="93"/>
      <c r="AT48" s="93"/>
      <c r="AU48" s="93"/>
      <c r="AV48" s="93"/>
      <c r="AW48" s="93"/>
      <c r="AX48" s="94" t="s">
        <v>199</v>
      </c>
    </row>
    <row r="49" spans="1:50" ht="78" customHeight="1" x14ac:dyDescent="0.25">
      <c r="A49" s="113" t="s">
        <v>210</v>
      </c>
      <c r="B49" s="116" t="s">
        <v>209</v>
      </c>
      <c r="C49" s="115" t="s">
        <v>2</v>
      </c>
      <c r="D49" s="57"/>
      <c r="E49" s="30"/>
      <c r="F49" s="9"/>
      <c r="G49" s="9">
        <v>21.63</v>
      </c>
      <c r="H49" s="56"/>
      <c r="I49" s="55"/>
      <c r="J49" s="9"/>
      <c r="K49" s="9"/>
      <c r="L49" s="9">
        <v>20.89</v>
      </c>
      <c r="M49" s="56"/>
      <c r="N49" s="55"/>
      <c r="O49" s="9"/>
      <c r="P49" s="9"/>
      <c r="Q49" s="9">
        <v>20.86</v>
      </c>
      <c r="R49" s="58"/>
      <c r="S49" s="55"/>
      <c r="T49" s="9"/>
      <c r="U49" s="9"/>
      <c r="V49" s="9">
        <v>21.53</v>
      </c>
      <c r="W49" s="56"/>
      <c r="X49" s="44"/>
      <c r="Y49" s="9"/>
      <c r="Z49" s="30"/>
      <c r="AA49" s="9"/>
      <c r="AB49" s="9"/>
      <c r="AC49" s="9"/>
      <c r="AD49" s="30"/>
      <c r="AE49" s="9"/>
      <c r="AF49" s="9"/>
      <c r="AG49" s="9"/>
      <c r="AH49" s="9"/>
      <c r="AI49" s="9"/>
      <c r="AJ49" s="9"/>
      <c r="AK49" s="9"/>
      <c r="AL49" s="9">
        <v>5.18</v>
      </c>
      <c r="AM49" s="9"/>
      <c r="AN49" s="9"/>
      <c r="AO49" s="9"/>
      <c r="AP49" s="9"/>
      <c r="AQ49" s="9"/>
      <c r="AR49" s="25">
        <f t="shared" si="2"/>
        <v>90.09</v>
      </c>
      <c r="AS49" s="114"/>
      <c r="AT49" s="114"/>
      <c r="AU49" s="114"/>
      <c r="AV49" s="114"/>
      <c r="AW49" s="114"/>
      <c r="AX49" s="112" t="s">
        <v>199</v>
      </c>
    </row>
    <row r="50" spans="1:50" ht="60" x14ac:dyDescent="0.25">
      <c r="A50" s="13" t="s">
        <v>14</v>
      </c>
      <c r="B50" s="7" t="s">
        <v>200</v>
      </c>
      <c r="C50" s="37" t="s">
        <v>2</v>
      </c>
      <c r="D50" s="55"/>
      <c r="E50" s="9"/>
      <c r="F50" s="30"/>
      <c r="G50" s="30"/>
      <c r="H50" s="56"/>
      <c r="I50" s="55"/>
      <c r="J50" s="9"/>
      <c r="K50" s="9"/>
      <c r="L50" s="9"/>
      <c r="M50" s="56"/>
      <c r="N50" s="55"/>
      <c r="O50" s="9"/>
      <c r="P50" s="9"/>
      <c r="Q50" s="9"/>
      <c r="R50" s="56"/>
      <c r="S50" s="55"/>
      <c r="T50" s="9"/>
      <c r="U50" s="9"/>
      <c r="V50" s="9"/>
      <c r="W50" s="56"/>
      <c r="X50" s="44"/>
      <c r="Y50" s="9"/>
      <c r="Z50" s="9"/>
      <c r="AA50" s="9"/>
      <c r="AB50" s="9"/>
      <c r="AC50" s="9"/>
      <c r="AD50" s="9"/>
      <c r="AE50" s="9"/>
      <c r="AF50" s="9">
        <v>4.97</v>
      </c>
      <c r="AG50" s="9"/>
      <c r="AH50" s="9">
        <v>21.79</v>
      </c>
      <c r="AI50" s="9"/>
      <c r="AJ50" s="9"/>
      <c r="AK50" s="9"/>
      <c r="AL50" s="9"/>
      <c r="AM50" s="9"/>
      <c r="AN50" s="9"/>
      <c r="AO50" s="9"/>
      <c r="AP50" s="30">
        <v>10.7</v>
      </c>
      <c r="AQ50" s="30">
        <v>10.7</v>
      </c>
      <c r="AR50" s="25">
        <f t="shared" si="2"/>
        <v>48.16</v>
      </c>
      <c r="AS50" s="93"/>
      <c r="AT50" s="93"/>
      <c r="AU50" s="93"/>
      <c r="AV50" s="93"/>
      <c r="AW50" s="93"/>
      <c r="AX50" s="94" t="s">
        <v>199</v>
      </c>
    </row>
    <row r="51" spans="1:50" ht="45" x14ac:dyDescent="0.25">
      <c r="A51" s="13" t="s">
        <v>15</v>
      </c>
      <c r="B51" s="97" t="s">
        <v>201</v>
      </c>
      <c r="C51" s="37"/>
      <c r="D51" s="55"/>
      <c r="E51" s="9"/>
      <c r="F51" s="30"/>
      <c r="G51" s="30"/>
      <c r="H51" s="56"/>
      <c r="I51" s="55"/>
      <c r="J51" s="9"/>
      <c r="K51" s="9"/>
      <c r="L51" s="9"/>
      <c r="M51" s="56"/>
      <c r="N51" s="55"/>
      <c r="O51" s="9"/>
      <c r="P51" s="9"/>
      <c r="Q51" s="9"/>
      <c r="R51" s="56"/>
      <c r="S51" s="55"/>
      <c r="T51" s="9"/>
      <c r="U51" s="9"/>
      <c r="V51" s="9"/>
      <c r="W51" s="56"/>
      <c r="X51" s="44"/>
      <c r="Y51" s="9"/>
      <c r="Z51" s="9"/>
      <c r="AA51" s="9"/>
      <c r="AB51" s="9"/>
      <c r="AC51" s="9"/>
      <c r="AD51" s="9"/>
      <c r="AE51" s="9"/>
      <c r="AF51" s="9"/>
      <c r="AG51" s="9">
        <v>8.4499999999999993</v>
      </c>
      <c r="AH51" s="9"/>
      <c r="AI51" s="9">
        <v>4.55</v>
      </c>
      <c r="AJ51" s="9">
        <v>5.93</v>
      </c>
      <c r="AK51" s="9"/>
      <c r="AL51" s="9"/>
      <c r="AM51" s="9"/>
      <c r="AN51" s="9"/>
      <c r="AO51" s="9"/>
      <c r="AP51" s="9"/>
      <c r="AQ51" s="9"/>
      <c r="AR51" s="25">
        <f t="shared" si="2"/>
        <v>18.93</v>
      </c>
      <c r="AS51" s="93"/>
      <c r="AT51" s="93"/>
      <c r="AU51" s="93"/>
      <c r="AV51" s="93"/>
      <c r="AW51" s="93"/>
      <c r="AX51" s="93"/>
    </row>
    <row r="52" spans="1:50" ht="18" customHeight="1" x14ac:dyDescent="0.25">
      <c r="A52" s="89" t="s">
        <v>16</v>
      </c>
      <c r="B52" s="5" t="s">
        <v>4</v>
      </c>
      <c r="C52" s="37"/>
      <c r="D52" s="55"/>
      <c r="E52" s="9"/>
      <c r="F52" s="9"/>
      <c r="G52" s="9"/>
      <c r="H52" s="56"/>
      <c r="I52" s="55"/>
      <c r="J52" s="9"/>
      <c r="K52" s="9"/>
      <c r="L52" s="9"/>
      <c r="M52" s="56"/>
      <c r="N52" s="55"/>
      <c r="O52" s="9"/>
      <c r="P52" s="9"/>
      <c r="Q52" s="9"/>
      <c r="R52" s="56"/>
      <c r="S52" s="55"/>
      <c r="T52" s="9"/>
      <c r="U52" s="9"/>
      <c r="V52" s="9"/>
      <c r="W52" s="56"/>
      <c r="X52" s="44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25"/>
      <c r="AS52" s="93"/>
      <c r="AT52" s="93"/>
      <c r="AU52" s="93"/>
      <c r="AV52" s="93"/>
      <c r="AW52" s="93"/>
      <c r="AX52" s="93"/>
    </row>
    <row r="53" spans="1:50" ht="45.75" customHeight="1" x14ac:dyDescent="0.25">
      <c r="A53" s="13" t="s">
        <v>17</v>
      </c>
      <c r="B53" s="6" t="s">
        <v>205</v>
      </c>
      <c r="C53" s="37" t="s">
        <v>2</v>
      </c>
      <c r="D53" s="57"/>
      <c r="E53" s="30"/>
      <c r="F53" s="9">
        <f>12.46*3.02-(2.1*1.05*2)</f>
        <v>33.219200000000001</v>
      </c>
      <c r="G53" s="30">
        <f>19.13*3.42-(2.1*1.01*2)</f>
        <v>61.182600000000001</v>
      </c>
      <c r="H53" s="58"/>
      <c r="I53" s="57"/>
      <c r="J53" s="30"/>
      <c r="K53" s="9">
        <f>10.14*3.02-(2.1*1.05*2)</f>
        <v>26.212800000000001</v>
      </c>
      <c r="L53" s="30">
        <f>24.66*3.42-(2.1*1.01*2)</f>
        <v>80.095199999999991</v>
      </c>
      <c r="M53" s="58"/>
      <c r="N53" s="57"/>
      <c r="O53" s="9"/>
      <c r="P53" s="9">
        <f>10.14*3.02-(2.1*1.05*2)</f>
        <v>26.212800000000001</v>
      </c>
      <c r="Q53" s="30">
        <f>27.08*3.42-(2.1*1.01*2)</f>
        <v>88.371599999999987</v>
      </c>
      <c r="R53" s="58"/>
      <c r="S53" s="57"/>
      <c r="T53" s="9"/>
      <c r="U53" s="9">
        <f>12.06*3.02-(2.1*1.05*2)</f>
        <v>32.011200000000002</v>
      </c>
      <c r="V53" s="30">
        <f>19.73*3.42-(2.1*1.01*2)</f>
        <v>63.234600000000007</v>
      </c>
      <c r="W53" s="58"/>
      <c r="X53" s="44"/>
      <c r="Y53" s="9"/>
      <c r="Z53" s="9"/>
      <c r="AA53" s="30"/>
      <c r="AB53" s="30"/>
      <c r="AC53" s="30"/>
      <c r="AD53" s="9"/>
      <c r="AE53" s="9"/>
      <c r="AF53" s="30"/>
      <c r="AG53" s="30"/>
      <c r="AH53" s="30"/>
      <c r="AI53" s="30"/>
      <c r="AJ53" s="30">
        <f>12.6*3.42-(2.1*1.015)</f>
        <v>40.960499999999996</v>
      </c>
      <c r="AK53" s="30"/>
      <c r="AL53" s="30">
        <f>9.56*3.42-2.1*1.01</f>
        <v>30.574200000000001</v>
      </c>
      <c r="AM53" s="9"/>
      <c r="AN53" s="9"/>
      <c r="AO53" s="9"/>
      <c r="AP53" s="30"/>
      <c r="AQ53" s="30"/>
      <c r="AR53" s="25">
        <f t="shared" ref="AR53:AR59" si="3">SUM(D53:AQ53)</f>
        <v>482.07470000000001</v>
      </c>
      <c r="AS53" s="93"/>
      <c r="AT53" s="93"/>
      <c r="AU53" s="93"/>
      <c r="AV53" s="93"/>
      <c r="AW53" s="93"/>
      <c r="AX53" s="93"/>
    </row>
    <row r="54" spans="1:50" ht="36" customHeight="1" x14ac:dyDescent="0.25">
      <c r="A54" s="13" t="s">
        <v>18</v>
      </c>
      <c r="B54" s="6" t="s">
        <v>160</v>
      </c>
      <c r="C54" s="37" t="s">
        <v>2</v>
      </c>
      <c r="D54" s="57">
        <f>30.3*3.42-(2.1*1.01+2.1*1.4+2.1*1.6+2.23*1.77*3+2.23*0.72*2)</f>
        <v>80.152500000000003</v>
      </c>
      <c r="E54" s="30">
        <f>31.16*3.42-(2.1*1.4*2+2.1*1.01+2.1*1.05+2.23*1.77*2+2.23*0.72)</f>
        <v>86.861400000000003</v>
      </c>
      <c r="F54" s="9"/>
      <c r="G54" s="9"/>
      <c r="H54" s="58">
        <f>18.61*3.42-(2.1*1.4+2.1*1.6+2.23*0.72*2)</f>
        <v>54.134999999999991</v>
      </c>
      <c r="I54" s="57">
        <f>29.8*3.42-(2.1*1.01+2.1*1.4+2.1*1.6+2.23*1.77+2.23*0.72)</f>
        <v>87.942300000000003</v>
      </c>
      <c r="J54" s="30">
        <f>31.4*3.42-(2.1*1.4*2+2.1*1.01+2.1*1.05+2.23*1.77*2+2.23*0.72*2)</f>
        <v>86.076599999999985</v>
      </c>
      <c r="K54" s="9"/>
      <c r="L54" s="9"/>
      <c r="M54" s="58">
        <f>18.95*3.42-(2.1*1.4+2.1*1.6+2.23*1.77)</f>
        <v>54.561899999999994</v>
      </c>
      <c r="N54" s="57">
        <f>29.8*3.42-(2.1*1.01+2.1*1.4+2.1*1.6+2.23*1.77+2.23*0.72)</f>
        <v>87.942300000000003</v>
      </c>
      <c r="O54" s="9">
        <f>31.4*3.42-(2.1*1.4*2+2.1*1.01+2.1*1.05+2.23*1.77*2+2.23*0.72*2)</f>
        <v>86.076599999999985</v>
      </c>
      <c r="P54" s="9"/>
      <c r="Q54" s="9"/>
      <c r="R54" s="58">
        <f>18.26*3.42-(2.1*1.4+2.1*1.6+2.23*0.72*2)</f>
        <v>52.938000000000002</v>
      </c>
      <c r="S54" s="57">
        <f>29.7*3.42-(2.1*1.01+2.1*1.4+2.1*1.6+2.23*1.77*3+2.23*0.72)</f>
        <v>79.706099999999992</v>
      </c>
      <c r="T54" s="9">
        <f>30.36*3.42-(2.1*1.4*2+2.1*1.01+2.1*1.05+2.23*1.77*2+2.23*0.72*2)</f>
        <v>82.519800000000004</v>
      </c>
      <c r="U54" s="9"/>
      <c r="V54" s="9"/>
      <c r="W54" s="58">
        <f>18.72*3.42-(2.1*1.4+2.1*1.6+2.23*1.77)</f>
        <v>53.775299999999987</v>
      </c>
      <c r="X54" s="44">
        <f>94*3.42-(1.05*2.1*8+1.01*2.1+1.1*2.1+1.6*2.1*6+1.4*2.1+2.23*1.77)</f>
        <v>272.36189999999999</v>
      </c>
      <c r="Y54" s="9">
        <f>72.84*3.42-(1.6*2.1*4+1.05*2.1*8+1.01*2.1+2.23*0.72*2)</f>
        <v>212.70060000000001</v>
      </c>
      <c r="Z54" s="9">
        <f>13.12*3.42-(1.05*2.1+2.23*1.77)</f>
        <v>38.718299999999999</v>
      </c>
      <c r="AA54" s="30">
        <f>14.9*3.42-(1.05*2.1+2.33*1.77)</f>
        <v>44.628900000000002</v>
      </c>
      <c r="AB54" s="30">
        <f>13.76*3.42-(1.05*2.1+2.33*1.77)</f>
        <v>40.730099999999993</v>
      </c>
      <c r="AC54" s="30">
        <f>16.02*3.42-(2.1*1.05+2.33*1.77+2.33*0.72)</f>
        <v>46.781699999999994</v>
      </c>
      <c r="AD54" s="9">
        <f>13.12*3.42-(2.1*1.05+2.33*1.77)</f>
        <v>38.541299999999993</v>
      </c>
      <c r="AE54" s="9">
        <f>17.46*3.42-(2.1*1.05+2.33*1.77+2.33*0.72)</f>
        <v>51.706499999999998</v>
      </c>
      <c r="AF54" s="30">
        <f>9.76*3.42-(2.1*1.6+1.18*2.1)</f>
        <v>27.541199999999996</v>
      </c>
      <c r="AG54" s="30">
        <f>12.12*3.42-2.1*1.05</f>
        <v>39.245399999999997</v>
      </c>
      <c r="AH54" s="30">
        <f>(23.66-8.9)*3.42-(2.1*1.4+2.35*1.06)</f>
        <v>45.048200000000001</v>
      </c>
      <c r="AI54" s="30">
        <f>9.6*3.42-2.1*1.05</f>
        <v>30.627000000000002</v>
      </c>
      <c r="AJ54" s="9"/>
      <c r="AK54" s="30">
        <f>25.28*3.42-(2.1*1.05+2.35*1.06+2.35*2.07)-AK59</f>
        <v>52.528699999999994</v>
      </c>
      <c r="AL54" s="9"/>
      <c r="AM54" s="9"/>
      <c r="AN54" s="9"/>
      <c r="AO54" s="9"/>
      <c r="AP54" s="30">
        <f>13.62*3.42-2.1*1.1</f>
        <v>44.270399999999995</v>
      </c>
      <c r="AQ54" s="30">
        <f>13.62*3.42-2.1*1.01</f>
        <v>44.459399999999995</v>
      </c>
      <c r="AR54" s="25">
        <f t="shared" si="3"/>
        <v>1922.5773999999999</v>
      </c>
      <c r="AS54" s="93"/>
      <c r="AT54" s="93"/>
      <c r="AU54" s="93"/>
      <c r="AV54" s="93"/>
      <c r="AW54" s="93"/>
      <c r="AX54" s="93"/>
    </row>
    <row r="55" spans="1:50" x14ac:dyDescent="0.25">
      <c r="A55" s="13" t="s">
        <v>19</v>
      </c>
      <c r="B55" s="6" t="s">
        <v>206</v>
      </c>
      <c r="C55" s="37" t="s">
        <v>2</v>
      </c>
      <c r="D55" s="57">
        <f>D54</f>
        <v>80.152500000000003</v>
      </c>
      <c r="E55" s="30">
        <f>E54</f>
        <v>86.861400000000003</v>
      </c>
      <c r="F55" s="9">
        <f>12.46*(3.02-2.1)</f>
        <v>11.463200000000001</v>
      </c>
      <c r="G55" s="30">
        <f>19.13*(3.42-2.1)</f>
        <v>25.251599999999996</v>
      </c>
      <c r="H55" s="58">
        <f>H54</f>
        <v>54.134999999999991</v>
      </c>
      <c r="I55" s="57">
        <f>I54</f>
        <v>87.942300000000003</v>
      </c>
      <c r="J55" s="30">
        <f>J54</f>
        <v>86.076599999999985</v>
      </c>
      <c r="K55" s="30">
        <f>10.14*(3.02-2.1)</f>
        <v>9.3287999999999993</v>
      </c>
      <c r="L55" s="30">
        <f>24.66*(3.42-2.1)</f>
        <v>32.551199999999994</v>
      </c>
      <c r="M55" s="58">
        <f>M54</f>
        <v>54.561899999999994</v>
      </c>
      <c r="N55" s="57">
        <f>N54</f>
        <v>87.942300000000003</v>
      </c>
      <c r="O55" s="30">
        <f>O54</f>
        <v>86.076599999999985</v>
      </c>
      <c r="P55" s="30">
        <f>10.14*(3.02-2.1)</f>
        <v>9.3287999999999993</v>
      </c>
      <c r="Q55" s="30">
        <f>27.08*(3.42-2.1)</f>
        <v>35.745599999999996</v>
      </c>
      <c r="R55" s="58">
        <f>R54</f>
        <v>52.938000000000002</v>
      </c>
      <c r="S55" s="57">
        <f>S54</f>
        <v>79.706099999999992</v>
      </c>
      <c r="T55" s="30">
        <f>T54</f>
        <v>82.519800000000004</v>
      </c>
      <c r="U55" s="30">
        <f>12.06*(3.02-2.1)</f>
        <v>11.0952</v>
      </c>
      <c r="V55" s="30">
        <f>19.73*(3.42-2.1)</f>
        <v>26.043599999999998</v>
      </c>
      <c r="W55" s="58">
        <f t="shared" ref="W55:AI55" si="4">W54</f>
        <v>53.775299999999987</v>
      </c>
      <c r="X55" s="57">
        <f t="shared" si="4"/>
        <v>272.36189999999999</v>
      </c>
      <c r="Y55" s="30">
        <f t="shared" si="4"/>
        <v>212.70060000000001</v>
      </c>
      <c r="Z55" s="30">
        <f t="shared" si="4"/>
        <v>38.718299999999999</v>
      </c>
      <c r="AA55" s="30">
        <f t="shared" si="4"/>
        <v>44.628900000000002</v>
      </c>
      <c r="AB55" s="30">
        <f t="shared" si="4"/>
        <v>40.730099999999993</v>
      </c>
      <c r="AC55" s="30">
        <f t="shared" si="4"/>
        <v>46.781699999999994</v>
      </c>
      <c r="AD55" s="30">
        <f t="shared" si="4"/>
        <v>38.541299999999993</v>
      </c>
      <c r="AE55" s="30">
        <f t="shared" si="4"/>
        <v>51.706499999999998</v>
      </c>
      <c r="AF55" s="30">
        <f t="shared" si="4"/>
        <v>27.541199999999996</v>
      </c>
      <c r="AG55" s="30">
        <f t="shared" si="4"/>
        <v>39.245399999999997</v>
      </c>
      <c r="AH55" s="30">
        <f t="shared" si="4"/>
        <v>45.048200000000001</v>
      </c>
      <c r="AI55" s="30">
        <f t="shared" si="4"/>
        <v>30.627000000000002</v>
      </c>
      <c r="AJ55" s="30">
        <f>12.6*(3.42-2.1)</f>
        <v>16.631999999999998</v>
      </c>
      <c r="AK55" s="30">
        <f>AK54</f>
        <v>52.528699999999994</v>
      </c>
      <c r="AL55" s="30">
        <f>9.56*(3.42-2.1)</f>
        <v>12.619199999999999</v>
      </c>
      <c r="AM55" s="9"/>
      <c r="AN55" s="9"/>
      <c r="AO55" s="9"/>
      <c r="AP55" s="30">
        <f>AP54</f>
        <v>44.270399999999995</v>
      </c>
      <c r="AQ55" s="30">
        <f>AQ54</f>
        <v>44.459399999999995</v>
      </c>
      <c r="AR55" s="25">
        <f>SUM(D55:AQ55)</f>
        <v>2112.6366000000003</v>
      </c>
      <c r="AS55" s="93"/>
      <c r="AT55" s="93"/>
      <c r="AU55" s="93"/>
      <c r="AV55" s="93"/>
      <c r="AW55" s="93"/>
      <c r="AX55" s="93"/>
    </row>
    <row r="56" spans="1:50" x14ac:dyDescent="0.25">
      <c r="A56" s="13" t="s">
        <v>20</v>
      </c>
      <c r="B56" s="6" t="s">
        <v>161</v>
      </c>
      <c r="C56" s="37" t="s">
        <v>2</v>
      </c>
      <c r="D56" s="57">
        <f>D54</f>
        <v>80.152500000000003</v>
      </c>
      <c r="E56" s="30">
        <f>E54</f>
        <v>86.861400000000003</v>
      </c>
      <c r="F56" s="9"/>
      <c r="G56" s="30"/>
      <c r="H56" s="58">
        <f>H54</f>
        <v>54.134999999999991</v>
      </c>
      <c r="I56" s="57">
        <f>I54</f>
        <v>87.942300000000003</v>
      </c>
      <c r="J56" s="30">
        <f>J54</f>
        <v>86.076599999999985</v>
      </c>
      <c r="K56" s="30"/>
      <c r="L56" s="30"/>
      <c r="M56" s="58">
        <f>M54</f>
        <v>54.561899999999994</v>
      </c>
      <c r="N56" s="57">
        <f>N54</f>
        <v>87.942300000000003</v>
      </c>
      <c r="O56" s="30">
        <f>O54</f>
        <v>86.076599999999985</v>
      </c>
      <c r="P56" s="30"/>
      <c r="Q56" s="30"/>
      <c r="R56" s="58">
        <f>R54</f>
        <v>52.938000000000002</v>
      </c>
      <c r="S56" s="57">
        <f>S54</f>
        <v>79.706099999999992</v>
      </c>
      <c r="T56" s="30">
        <f>T54</f>
        <v>82.519800000000004</v>
      </c>
      <c r="U56" s="30"/>
      <c r="V56" s="30"/>
      <c r="W56" s="58">
        <f>W54</f>
        <v>53.775299999999987</v>
      </c>
      <c r="X56" s="57"/>
      <c r="Y56" s="30"/>
      <c r="Z56" s="30">
        <f t="shared" ref="Z56:AE56" si="5">Z54</f>
        <v>38.718299999999999</v>
      </c>
      <c r="AA56" s="30">
        <f t="shared" si="5"/>
        <v>44.628900000000002</v>
      </c>
      <c r="AB56" s="30">
        <f t="shared" si="5"/>
        <v>40.730099999999993</v>
      </c>
      <c r="AC56" s="30">
        <f t="shared" si="5"/>
        <v>46.781699999999994</v>
      </c>
      <c r="AD56" s="30">
        <f t="shared" si="5"/>
        <v>38.541299999999993</v>
      </c>
      <c r="AE56" s="30">
        <f t="shared" si="5"/>
        <v>51.706499999999998</v>
      </c>
      <c r="AF56" s="30"/>
      <c r="AG56" s="30"/>
      <c r="AH56" s="30"/>
      <c r="AI56" s="30">
        <v>30.63</v>
      </c>
      <c r="AJ56" s="30"/>
      <c r="AK56" s="30">
        <f>AK54+AK59</f>
        <v>76.897099999999995</v>
      </c>
      <c r="AL56" s="30"/>
      <c r="AM56" s="9"/>
      <c r="AN56" s="9"/>
      <c r="AO56" s="9"/>
      <c r="AP56" s="9">
        <v>44.27</v>
      </c>
      <c r="AQ56" s="9">
        <v>44.46</v>
      </c>
      <c r="AR56" s="25">
        <f>SUM(D56:AQ56)</f>
        <v>1350.0517000000002</v>
      </c>
      <c r="AS56" s="93"/>
      <c r="AT56" s="93"/>
      <c r="AU56" s="93"/>
      <c r="AV56" s="93"/>
      <c r="AW56" s="93"/>
      <c r="AX56" s="94" t="s">
        <v>202</v>
      </c>
    </row>
    <row r="57" spans="1:50" ht="47.25" x14ac:dyDescent="0.25">
      <c r="A57" s="13" t="s">
        <v>21</v>
      </c>
      <c r="B57" s="6" t="s">
        <v>162</v>
      </c>
      <c r="C57" s="37" t="s">
        <v>2</v>
      </c>
      <c r="D57" s="55"/>
      <c r="E57" s="9"/>
      <c r="F57" s="9">
        <f>F55</f>
        <v>11.463200000000001</v>
      </c>
      <c r="G57" s="30">
        <f>G55</f>
        <v>25.251599999999996</v>
      </c>
      <c r="H57" s="56"/>
      <c r="I57" s="55"/>
      <c r="J57" s="9"/>
      <c r="K57" s="30">
        <f>K55</f>
        <v>9.3287999999999993</v>
      </c>
      <c r="L57" s="30">
        <f>L55</f>
        <v>32.551199999999994</v>
      </c>
      <c r="M57" s="56"/>
      <c r="N57" s="55"/>
      <c r="O57" s="9"/>
      <c r="P57" s="30">
        <f>P55</f>
        <v>9.3287999999999993</v>
      </c>
      <c r="Q57" s="30">
        <f>Q55</f>
        <v>35.745599999999996</v>
      </c>
      <c r="R57" s="56"/>
      <c r="S57" s="55"/>
      <c r="T57" s="9"/>
      <c r="U57" s="30">
        <f>U55</f>
        <v>11.0952</v>
      </c>
      <c r="V57" s="30">
        <f>V55</f>
        <v>26.043599999999998</v>
      </c>
      <c r="W57" s="56"/>
      <c r="X57" s="44">
        <v>272.36</v>
      </c>
      <c r="Y57" s="30">
        <v>212.7</v>
      </c>
      <c r="Z57" s="9"/>
      <c r="AA57" s="9"/>
      <c r="AB57" s="9"/>
      <c r="AC57" s="9"/>
      <c r="AD57" s="9"/>
      <c r="AE57" s="9"/>
      <c r="AF57" s="30">
        <v>27.54</v>
      </c>
      <c r="AG57" s="30">
        <v>39.25</v>
      </c>
      <c r="AH57" s="30">
        <v>45.05</v>
      </c>
      <c r="AI57" s="9"/>
      <c r="AJ57" s="30">
        <f>AJ55</f>
        <v>16.631999999999998</v>
      </c>
      <c r="AK57" s="9"/>
      <c r="AL57" s="30">
        <f>AL55</f>
        <v>12.619199999999999</v>
      </c>
      <c r="AM57" s="9"/>
      <c r="AN57" s="9"/>
      <c r="AO57" s="9"/>
      <c r="AP57" s="9"/>
      <c r="AQ57" s="9"/>
      <c r="AR57" s="25">
        <f>SUM(D57:AQ57)</f>
        <v>786.95919999999978</v>
      </c>
      <c r="AS57" s="93"/>
      <c r="AT57" s="93"/>
      <c r="AU57" s="93"/>
      <c r="AV57" s="93"/>
      <c r="AW57" s="93"/>
      <c r="AX57" s="94" t="s">
        <v>211</v>
      </c>
    </row>
    <row r="58" spans="1:50" ht="34.5" customHeight="1" x14ac:dyDescent="0.25">
      <c r="A58" s="13" t="s">
        <v>22</v>
      </c>
      <c r="B58" s="6" t="s">
        <v>138</v>
      </c>
      <c r="C58" s="37" t="s">
        <v>2</v>
      </c>
      <c r="D58" s="55"/>
      <c r="E58" s="9"/>
      <c r="F58" s="9">
        <f>12.46*2.1-(2.1*1.05*2)</f>
        <v>21.756000000000004</v>
      </c>
      <c r="G58" s="30">
        <f>19.13*2.1-(2.1*1.01*2)</f>
        <v>35.931000000000004</v>
      </c>
      <c r="H58" s="56"/>
      <c r="I58" s="55"/>
      <c r="J58" s="9"/>
      <c r="K58" s="9">
        <f>10.14*2.1-(2.1*1.05*2)</f>
        <v>16.884</v>
      </c>
      <c r="L58" s="30">
        <f>24.66*2.1-(2.1*1.01*2)</f>
        <v>47.544000000000004</v>
      </c>
      <c r="M58" s="56"/>
      <c r="N58" s="55"/>
      <c r="O58" s="9"/>
      <c r="P58" s="9">
        <f>10.14*2.1-(2.1*1.05*2)</f>
        <v>16.884</v>
      </c>
      <c r="Q58" s="30">
        <f>27.08*2.1-(2.1*1.01*2)</f>
        <v>52.626000000000005</v>
      </c>
      <c r="R58" s="56"/>
      <c r="S58" s="55"/>
      <c r="T58" s="9"/>
      <c r="U58" s="9">
        <f>12.06*2.1-(2.1*1.05*2)</f>
        <v>20.916</v>
      </c>
      <c r="V58" s="30">
        <f>19.73*2.1-(2.1*1.01*2)</f>
        <v>37.191000000000003</v>
      </c>
      <c r="W58" s="56"/>
      <c r="X58" s="44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30">
        <f>12.6*2.1-(2.1*1.05)</f>
        <v>24.255000000000003</v>
      </c>
      <c r="AK58" s="9"/>
      <c r="AL58" s="30">
        <f>9.56*2.1-(2.1*1.01)</f>
        <v>17.955000000000002</v>
      </c>
      <c r="AM58" s="9"/>
      <c r="AN58" s="9"/>
      <c r="AO58" s="9"/>
      <c r="AP58" s="9"/>
      <c r="AQ58" s="9"/>
      <c r="AR58" s="25">
        <f>SUM(D58:AQ58)</f>
        <v>291.94200000000001</v>
      </c>
      <c r="AS58" s="93"/>
      <c r="AT58" s="93"/>
      <c r="AU58" s="93"/>
      <c r="AV58" s="93"/>
      <c r="AW58" s="93"/>
      <c r="AX58" s="94" t="s">
        <v>203</v>
      </c>
    </row>
    <row r="59" spans="1:50" ht="78" customHeight="1" x14ac:dyDescent="0.25">
      <c r="A59" s="13" t="s">
        <v>23</v>
      </c>
      <c r="B59" s="6" t="s">
        <v>204</v>
      </c>
      <c r="C59" s="37" t="s">
        <v>2</v>
      </c>
      <c r="D59" s="55"/>
      <c r="E59" s="9"/>
      <c r="F59" s="9"/>
      <c r="G59" s="9"/>
      <c r="H59" s="56"/>
      <c r="I59" s="55"/>
      <c r="J59" s="9"/>
      <c r="K59" s="9"/>
      <c r="L59" s="9"/>
      <c r="M59" s="56"/>
      <c r="N59" s="55"/>
      <c r="O59" s="9"/>
      <c r="P59" s="9"/>
      <c r="Q59" s="9"/>
      <c r="R59" s="56"/>
      <c r="S59" s="55"/>
      <c r="T59" s="9"/>
      <c r="U59" s="9"/>
      <c r="V59" s="9"/>
      <c r="W59" s="56"/>
      <c r="X59" s="44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30">
        <f>(4.19+3.58)*3.42-2.1*1.05</f>
        <v>24.368400000000001</v>
      </c>
      <c r="AL59" s="9"/>
      <c r="AM59" s="9"/>
      <c r="AN59" s="9"/>
      <c r="AO59" s="9"/>
      <c r="AP59" s="9"/>
      <c r="AQ59" s="9"/>
      <c r="AR59" s="25">
        <f t="shared" si="3"/>
        <v>24.368400000000001</v>
      </c>
      <c r="AS59" s="93"/>
      <c r="AT59" s="93"/>
      <c r="AU59" s="93"/>
      <c r="AV59" s="93"/>
      <c r="AW59" s="93"/>
      <c r="AX59" s="93"/>
    </row>
    <row r="60" spans="1:50" x14ac:dyDescent="0.25">
      <c r="A60" s="89" t="s">
        <v>35</v>
      </c>
      <c r="B60" s="5" t="s">
        <v>163</v>
      </c>
      <c r="C60" s="37"/>
      <c r="D60" s="55"/>
      <c r="E60" s="9"/>
      <c r="F60" s="9"/>
      <c r="G60" s="9"/>
      <c r="H60" s="56"/>
      <c r="I60" s="55"/>
      <c r="J60" s="9"/>
      <c r="K60" s="9"/>
      <c r="L60" s="9"/>
      <c r="M60" s="56"/>
      <c r="N60" s="55"/>
      <c r="O60" s="9"/>
      <c r="P60" s="9"/>
      <c r="Q60" s="9"/>
      <c r="R60" s="56"/>
      <c r="S60" s="55"/>
      <c r="T60" s="9"/>
      <c r="U60" s="9"/>
      <c r="V60" s="9"/>
      <c r="W60" s="56"/>
      <c r="X60" s="44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25"/>
      <c r="AS60" s="93"/>
      <c r="AT60" s="93"/>
      <c r="AU60" s="93"/>
      <c r="AV60" s="93"/>
      <c r="AW60" s="93"/>
      <c r="AX60" s="93"/>
    </row>
    <row r="61" spans="1:50" ht="31.5" customHeight="1" x14ac:dyDescent="0.25">
      <c r="A61" s="13" t="s">
        <v>36</v>
      </c>
      <c r="B61" s="6" t="s">
        <v>208</v>
      </c>
      <c r="C61" s="37" t="s">
        <v>164</v>
      </c>
      <c r="D61" s="57">
        <f>(2.1*2+1.6)</f>
        <v>5.8000000000000007</v>
      </c>
      <c r="E61" s="30"/>
      <c r="F61" s="9"/>
      <c r="G61" s="9"/>
      <c r="H61" s="58">
        <f>(2.1*2+1.6)</f>
        <v>5.8000000000000007</v>
      </c>
      <c r="I61" s="57">
        <f>(2.1*2+1.6)</f>
        <v>5.8000000000000007</v>
      </c>
      <c r="J61" s="30"/>
      <c r="K61" s="30"/>
      <c r="L61" s="30"/>
      <c r="M61" s="58">
        <f>(2.1*2+1.6)</f>
        <v>5.8000000000000007</v>
      </c>
      <c r="N61" s="57">
        <f>(2.1*2+1.6)</f>
        <v>5.8000000000000007</v>
      </c>
      <c r="O61" s="30"/>
      <c r="P61" s="30"/>
      <c r="Q61" s="30"/>
      <c r="R61" s="58">
        <f>(2.1*2+1.6)</f>
        <v>5.8000000000000007</v>
      </c>
      <c r="S61" s="57">
        <f>(2.1*2+1.6)</f>
        <v>5.8000000000000007</v>
      </c>
      <c r="T61" s="30"/>
      <c r="U61" s="30"/>
      <c r="V61" s="30"/>
      <c r="W61" s="58">
        <f>(2.1*2+1.6)</f>
        <v>5.8000000000000007</v>
      </c>
      <c r="X61" s="44">
        <f>((2.1*2+1.6)*3+(2.1*2+1.05)*6)</f>
        <v>48.900000000000006</v>
      </c>
      <c r="Y61" s="9">
        <f>((2.1*2+1.6)*2+(2.1*2+1.05)*4)</f>
        <v>32.6</v>
      </c>
      <c r="Z61" s="9"/>
      <c r="AA61" s="9"/>
      <c r="AB61" s="9"/>
      <c r="AC61" s="30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25">
        <f t="shared" ref="AR61:AR66" si="6">SUM(D61:AQ61)</f>
        <v>127.9</v>
      </c>
      <c r="AS61" s="93"/>
      <c r="AT61" s="93"/>
      <c r="AU61" s="93"/>
      <c r="AV61" s="93"/>
      <c r="AW61" s="93"/>
      <c r="AX61" s="93"/>
    </row>
    <row r="62" spans="1:50" x14ac:dyDescent="0.25">
      <c r="A62" s="13" t="s">
        <v>37</v>
      </c>
      <c r="B62" s="6" t="s">
        <v>165</v>
      </c>
      <c r="C62" s="37" t="s">
        <v>164</v>
      </c>
      <c r="D62" s="57">
        <f>D61</f>
        <v>5.8000000000000007</v>
      </c>
      <c r="E62" s="30"/>
      <c r="F62" s="9"/>
      <c r="G62" s="9"/>
      <c r="H62" s="58">
        <f>H61</f>
        <v>5.8000000000000007</v>
      </c>
      <c r="I62" s="57">
        <f>I61</f>
        <v>5.8000000000000007</v>
      </c>
      <c r="J62" s="30"/>
      <c r="K62" s="30"/>
      <c r="L62" s="30"/>
      <c r="M62" s="58">
        <f>M61</f>
        <v>5.8000000000000007</v>
      </c>
      <c r="N62" s="57">
        <f>N61</f>
        <v>5.8000000000000007</v>
      </c>
      <c r="O62" s="30"/>
      <c r="P62" s="30"/>
      <c r="Q62" s="30"/>
      <c r="R62" s="58">
        <f>R61</f>
        <v>5.8000000000000007</v>
      </c>
      <c r="S62" s="57">
        <f>S61</f>
        <v>5.8000000000000007</v>
      </c>
      <c r="T62" s="30"/>
      <c r="U62" s="30"/>
      <c r="V62" s="30"/>
      <c r="W62" s="58">
        <f>W61</f>
        <v>5.8000000000000007</v>
      </c>
      <c r="X62" s="57"/>
      <c r="Y62" s="30"/>
      <c r="Z62" s="9"/>
      <c r="AA62" s="9"/>
      <c r="AB62" s="9"/>
      <c r="AC62" s="30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25">
        <f t="shared" si="6"/>
        <v>46.400000000000006</v>
      </c>
      <c r="AS62" s="93"/>
      <c r="AT62" s="93"/>
      <c r="AU62" s="93"/>
      <c r="AV62" s="93"/>
      <c r="AW62" s="93"/>
      <c r="AX62" s="94" t="s">
        <v>202</v>
      </c>
    </row>
    <row r="63" spans="1:50" ht="47.25" x14ac:dyDescent="0.25">
      <c r="A63" s="13" t="s">
        <v>38</v>
      </c>
      <c r="B63" s="6" t="s">
        <v>166</v>
      </c>
      <c r="C63" s="37"/>
      <c r="D63" s="57"/>
      <c r="E63" s="30"/>
      <c r="F63" s="9"/>
      <c r="G63" s="9"/>
      <c r="H63" s="58"/>
      <c r="I63" s="57"/>
      <c r="J63" s="30"/>
      <c r="K63" s="30"/>
      <c r="L63" s="30"/>
      <c r="M63" s="58"/>
      <c r="N63" s="57"/>
      <c r="O63" s="30"/>
      <c r="P63" s="30"/>
      <c r="Q63" s="30"/>
      <c r="R63" s="58"/>
      <c r="S63" s="57"/>
      <c r="T63" s="30"/>
      <c r="U63" s="30"/>
      <c r="V63" s="30"/>
      <c r="W63" s="58"/>
      <c r="X63" s="45">
        <f>X61</f>
        <v>48.900000000000006</v>
      </c>
      <c r="Y63" s="30">
        <f>Y61</f>
        <v>32.6</v>
      </c>
      <c r="Z63" s="9"/>
      <c r="AA63" s="9"/>
      <c r="AB63" s="9"/>
      <c r="AC63" s="30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25">
        <f t="shared" si="6"/>
        <v>81.5</v>
      </c>
      <c r="AS63" s="93"/>
      <c r="AT63" s="93"/>
      <c r="AU63" s="93"/>
      <c r="AV63" s="93"/>
      <c r="AW63" s="93"/>
      <c r="AX63" s="112" t="s">
        <v>211</v>
      </c>
    </row>
    <row r="64" spans="1:50" ht="45.75" customHeight="1" x14ac:dyDescent="0.25">
      <c r="A64" s="13" t="s">
        <v>39</v>
      </c>
      <c r="B64" s="8" t="s">
        <v>207</v>
      </c>
      <c r="C64" s="37" t="s">
        <v>2</v>
      </c>
      <c r="D64" s="57">
        <f>2.23*10*0.15+(1.77*3+0.72*2)*0.15</f>
        <v>4.3574999999999999</v>
      </c>
      <c r="E64" s="30">
        <f>(2.23*6+1.77*2+0.72)*0.15</f>
        <v>2.6459999999999995</v>
      </c>
      <c r="F64" s="9"/>
      <c r="G64" s="9"/>
      <c r="H64" s="58">
        <f>(2.23*4+0.72*2)</f>
        <v>10.36</v>
      </c>
      <c r="I64" s="57">
        <f>(2.23*4+1.77+0.72)</f>
        <v>11.41</v>
      </c>
      <c r="J64" s="30">
        <f>(2.23*8+1.77*2+0.72*2)</f>
        <v>22.82</v>
      </c>
      <c r="K64" s="9"/>
      <c r="L64" s="9"/>
      <c r="M64" s="30">
        <f>(2.23*2+1.77)</f>
        <v>6.23</v>
      </c>
      <c r="N64" s="57">
        <f>(2.23*4+1.77+0.72)</f>
        <v>11.41</v>
      </c>
      <c r="O64" s="30">
        <f>(2.23*8+1.77*2+0.72*2)</f>
        <v>22.82</v>
      </c>
      <c r="P64" s="9"/>
      <c r="Q64" s="9"/>
      <c r="R64" s="30">
        <f>(2.23*4+0.72*2)</f>
        <v>10.36</v>
      </c>
      <c r="S64" s="57">
        <f>(2.23*8+1.77*3+0.72)</f>
        <v>23.869999999999997</v>
      </c>
      <c r="T64" s="30">
        <f>(2.23*8+1.77*2+0.72*2)</f>
        <v>22.82</v>
      </c>
      <c r="U64" s="9"/>
      <c r="V64" s="9"/>
      <c r="W64" s="30">
        <f>(2.23*2+1.77)</f>
        <v>6.23</v>
      </c>
      <c r="X64" s="57">
        <f>(2.23*2+1.77)</f>
        <v>6.23</v>
      </c>
      <c r="Y64" s="30">
        <f>(2.23*4+0.72*2)</f>
        <v>10.36</v>
      </c>
      <c r="Z64" s="30">
        <f>(2.23*2+1.77)</f>
        <v>6.23</v>
      </c>
      <c r="AA64" s="30">
        <f>(2.23*2+1.77)</f>
        <v>6.23</v>
      </c>
      <c r="AB64" s="30">
        <f>(2.23*2+1.77)</f>
        <v>6.23</v>
      </c>
      <c r="AC64" s="30">
        <f>(2.33*4+1.77+0.72)</f>
        <v>11.81</v>
      </c>
      <c r="AD64" s="30">
        <f>(2.23*2+1.77)</f>
        <v>6.23</v>
      </c>
      <c r="AE64" s="30">
        <f>(2.33*4+1.77+0.72)</f>
        <v>11.81</v>
      </c>
      <c r="AF64" s="9"/>
      <c r="AG64" s="9"/>
      <c r="AH64" s="9">
        <f>2.35*2+1.06</f>
        <v>5.76</v>
      </c>
      <c r="AI64" s="9"/>
      <c r="AJ64" s="9"/>
      <c r="AK64" s="9">
        <f>(2.35*4+1.06+2.07)</f>
        <v>12.530000000000001</v>
      </c>
      <c r="AL64" s="9"/>
      <c r="AM64" s="9"/>
      <c r="AN64" s="9"/>
      <c r="AO64" s="9"/>
      <c r="AP64" s="9"/>
      <c r="AQ64" s="9"/>
      <c r="AR64" s="25">
        <f t="shared" si="6"/>
        <v>238.75349999999989</v>
      </c>
      <c r="AS64" s="93"/>
      <c r="AT64" s="93"/>
      <c r="AU64" s="93"/>
      <c r="AV64" s="93"/>
      <c r="AW64" s="93"/>
      <c r="AX64" s="93"/>
    </row>
    <row r="65" spans="1:50" ht="30" customHeight="1" x14ac:dyDescent="0.25">
      <c r="A65" s="13" t="s">
        <v>40</v>
      </c>
      <c r="B65" s="6" t="s">
        <v>167</v>
      </c>
      <c r="C65" s="37" t="s">
        <v>2</v>
      </c>
      <c r="D65" s="57">
        <f>D64</f>
        <v>4.3574999999999999</v>
      </c>
      <c r="E65" s="30">
        <f>E64</f>
        <v>2.6459999999999995</v>
      </c>
      <c r="F65" s="9"/>
      <c r="G65" s="9"/>
      <c r="H65" s="58">
        <f>H64</f>
        <v>10.36</v>
      </c>
      <c r="I65" s="57">
        <f>I64</f>
        <v>11.41</v>
      </c>
      <c r="J65" s="30">
        <f>J64</f>
        <v>22.82</v>
      </c>
      <c r="K65" s="9"/>
      <c r="L65" s="9"/>
      <c r="M65" s="30">
        <f>M64</f>
        <v>6.23</v>
      </c>
      <c r="N65" s="57">
        <f>N64</f>
        <v>11.41</v>
      </c>
      <c r="O65" s="30">
        <f>O64</f>
        <v>22.82</v>
      </c>
      <c r="P65" s="9"/>
      <c r="Q65" s="9"/>
      <c r="R65" s="30">
        <f>R64</f>
        <v>10.36</v>
      </c>
      <c r="S65" s="57">
        <f>S64</f>
        <v>23.869999999999997</v>
      </c>
      <c r="T65" s="30">
        <f>T64</f>
        <v>22.82</v>
      </c>
      <c r="U65" s="9"/>
      <c r="V65" s="9"/>
      <c r="W65" s="30">
        <f t="shared" ref="W65:AE65" si="7">W64</f>
        <v>6.23</v>
      </c>
      <c r="X65" s="57"/>
      <c r="Y65" s="30"/>
      <c r="Z65" s="30">
        <f t="shared" si="7"/>
        <v>6.23</v>
      </c>
      <c r="AA65" s="30">
        <f t="shared" si="7"/>
        <v>6.23</v>
      </c>
      <c r="AB65" s="30">
        <f t="shared" si="7"/>
        <v>6.23</v>
      </c>
      <c r="AC65" s="30">
        <f t="shared" si="7"/>
        <v>11.81</v>
      </c>
      <c r="AD65" s="30">
        <f t="shared" si="7"/>
        <v>6.23</v>
      </c>
      <c r="AE65" s="30">
        <f t="shared" si="7"/>
        <v>11.81</v>
      </c>
      <c r="AF65" s="9"/>
      <c r="AG65" s="9"/>
      <c r="AH65" s="9">
        <f>AH64</f>
        <v>5.76</v>
      </c>
      <c r="AI65" s="9"/>
      <c r="AJ65" s="9"/>
      <c r="AK65" s="9">
        <f>AK64</f>
        <v>12.530000000000001</v>
      </c>
      <c r="AL65" s="9"/>
      <c r="AM65" s="9"/>
      <c r="AN65" s="9"/>
      <c r="AO65" s="9"/>
      <c r="AP65" s="9"/>
      <c r="AQ65" s="9"/>
      <c r="AR65" s="25">
        <f t="shared" si="6"/>
        <v>222.16349999999991</v>
      </c>
      <c r="AS65" s="93"/>
      <c r="AT65" s="93"/>
      <c r="AU65" s="93"/>
      <c r="AV65" s="93"/>
      <c r="AW65" s="93"/>
      <c r="AX65" s="94" t="s">
        <v>202</v>
      </c>
    </row>
    <row r="66" spans="1:50" ht="48.75" customHeight="1" x14ac:dyDescent="0.25">
      <c r="A66" s="13" t="s">
        <v>41</v>
      </c>
      <c r="B66" s="6" t="s">
        <v>168</v>
      </c>
      <c r="C66" s="37"/>
      <c r="D66" s="57"/>
      <c r="E66" s="30"/>
      <c r="F66" s="9"/>
      <c r="G66" s="9"/>
      <c r="H66" s="58"/>
      <c r="I66" s="57"/>
      <c r="J66" s="30"/>
      <c r="K66" s="9"/>
      <c r="L66" s="9"/>
      <c r="M66" s="90"/>
      <c r="N66" s="57"/>
      <c r="O66" s="30"/>
      <c r="P66" s="9"/>
      <c r="Q66" s="9"/>
      <c r="R66" s="90"/>
      <c r="S66" s="57"/>
      <c r="T66" s="30"/>
      <c r="U66" s="9"/>
      <c r="V66" s="9"/>
      <c r="W66" s="90"/>
      <c r="X66" s="57">
        <v>6.23</v>
      </c>
      <c r="Y66" s="30">
        <v>10.36</v>
      </c>
      <c r="Z66" s="30"/>
      <c r="AA66" s="30"/>
      <c r="AB66" s="30"/>
      <c r="AC66" s="30"/>
      <c r="AD66" s="30"/>
      <c r="AE66" s="30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25">
        <f t="shared" si="6"/>
        <v>16.59</v>
      </c>
      <c r="AS66" s="93"/>
      <c r="AT66" s="93"/>
      <c r="AU66" s="93"/>
      <c r="AV66" s="93"/>
      <c r="AW66" s="93"/>
      <c r="AX66" s="112" t="s">
        <v>211</v>
      </c>
    </row>
    <row r="67" spans="1:50" ht="30" x14ac:dyDescent="0.25">
      <c r="A67" s="89" t="s">
        <v>42</v>
      </c>
      <c r="B67" s="5" t="s">
        <v>146</v>
      </c>
      <c r="C67" s="37"/>
      <c r="D67" s="55"/>
      <c r="E67" s="9"/>
      <c r="F67" s="9"/>
      <c r="G67" s="9"/>
      <c r="H67" s="56"/>
      <c r="I67" s="55"/>
      <c r="J67" s="9"/>
      <c r="K67" s="9"/>
      <c r="L67" s="9"/>
      <c r="M67" s="56"/>
      <c r="N67" s="55"/>
      <c r="O67" s="9"/>
      <c r="P67" s="9"/>
      <c r="Q67" s="9"/>
      <c r="R67" s="56"/>
      <c r="S67" s="55"/>
      <c r="T67" s="9"/>
      <c r="U67" s="9"/>
      <c r="V67" s="9"/>
      <c r="W67" s="56"/>
      <c r="X67" s="44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25"/>
      <c r="AS67" s="93"/>
      <c r="AT67" s="93"/>
      <c r="AU67" s="93"/>
      <c r="AV67" s="93"/>
      <c r="AW67" s="93"/>
      <c r="AX67" s="93"/>
    </row>
    <row r="68" spans="1:50" ht="29.25" customHeight="1" x14ac:dyDescent="0.25">
      <c r="A68" s="13" t="s">
        <v>43</v>
      </c>
      <c r="B68" s="6" t="s">
        <v>169</v>
      </c>
      <c r="C68" s="37" t="s">
        <v>2</v>
      </c>
      <c r="D68" s="55"/>
      <c r="E68" s="9"/>
      <c r="F68" s="30">
        <f>(0.3+0.4+0.6+0.25)*3.42</f>
        <v>5.3009999999999993</v>
      </c>
      <c r="G68" s="30">
        <f>(0.3+0.75)*3.42</f>
        <v>3.5910000000000002</v>
      </c>
      <c r="H68" s="56"/>
      <c r="I68" s="55"/>
      <c r="J68" s="9"/>
      <c r="K68" s="30">
        <f>(0.3+0.65)*3.42</f>
        <v>3.2489999999999997</v>
      </c>
      <c r="L68" s="30">
        <f>(0.3+0.75)*3*3.42</f>
        <v>10.773000000000001</v>
      </c>
      <c r="M68" s="56"/>
      <c r="N68" s="55"/>
      <c r="O68" s="9"/>
      <c r="P68" s="30">
        <f>(0.3+0.65)*3.42</f>
        <v>3.2489999999999997</v>
      </c>
      <c r="Q68" s="30">
        <f>(0.3+0.75)*3*3.42</f>
        <v>10.773000000000001</v>
      </c>
      <c r="R68" s="56"/>
      <c r="S68" s="55"/>
      <c r="T68" s="9"/>
      <c r="U68" s="30">
        <f>(0.25+0.3+0.65+0.3)*3.42</f>
        <v>5.1300000000000008</v>
      </c>
      <c r="V68" s="30">
        <f>(0.3*3+0.35+0.75)*3.42</f>
        <v>6.84</v>
      </c>
      <c r="W68" s="58">
        <f>(0.2+1.08)*3.42</f>
        <v>4.3776000000000002</v>
      </c>
      <c r="X68" s="44"/>
      <c r="Y68" s="30">
        <f>(0.3*2+0.45)*3.42</f>
        <v>3.5910000000000002</v>
      </c>
      <c r="Z68" s="9"/>
      <c r="AA68" s="9"/>
      <c r="AB68" s="30">
        <f>(0.27+1.05)*3.42</f>
        <v>4.5144000000000002</v>
      </c>
      <c r="AC68" s="9"/>
      <c r="AD68" s="9"/>
      <c r="AE68" s="30">
        <f>(0*2+0.35)*3.42</f>
        <v>1.1969999999999998</v>
      </c>
      <c r="AF68" s="9"/>
      <c r="AG68" s="9"/>
      <c r="AH68" s="9"/>
      <c r="AI68" s="9"/>
      <c r="AJ68" s="30">
        <f>(0*27*2+0.8)*3.42</f>
        <v>2.7360000000000002</v>
      </c>
      <c r="AK68" s="9"/>
      <c r="AL68" s="30">
        <f>(0.3+0.75)*3.42</f>
        <v>3.5910000000000002</v>
      </c>
      <c r="AM68" s="9"/>
      <c r="AN68" s="9"/>
      <c r="AO68" s="9"/>
      <c r="AP68" s="9"/>
      <c r="AQ68" s="9"/>
      <c r="AR68" s="25">
        <f>SUM(D68:AQ68)</f>
        <v>68.913000000000011</v>
      </c>
      <c r="AS68" s="93"/>
      <c r="AT68" s="93"/>
      <c r="AU68" s="93"/>
      <c r="AV68" s="93"/>
      <c r="AW68" s="93"/>
      <c r="AX68" s="93"/>
    </row>
    <row r="69" spans="1:50" ht="34.5" customHeight="1" x14ac:dyDescent="0.25">
      <c r="A69" s="13" t="s">
        <v>44</v>
      </c>
      <c r="B69" s="6" t="s">
        <v>170</v>
      </c>
      <c r="C69" s="37" t="s">
        <v>2</v>
      </c>
      <c r="D69" s="57">
        <f>((1.5+0.3)*3+(1.4+0.3)*2)*0.75</f>
        <v>6.6000000000000005</v>
      </c>
      <c r="E69" s="30">
        <f>(1.1+0.3)*4*0.75</f>
        <v>4.2</v>
      </c>
      <c r="F69" s="9"/>
      <c r="G69" s="9"/>
      <c r="H69" s="56">
        <f>(1+0.3)*2*0.75</f>
        <v>1.9500000000000002</v>
      </c>
      <c r="I69" s="57">
        <f>((1.1+0.3)+(0.8+0.3)*2)*0.75</f>
        <v>2.7</v>
      </c>
      <c r="J69" s="30">
        <f>((1.5+0.3)*3+1.6+0.3)*0.75</f>
        <v>5.4749999999999996</v>
      </c>
      <c r="K69" s="9"/>
      <c r="L69" s="9"/>
      <c r="M69" s="58">
        <f>(1.4+0.3)*0.75</f>
        <v>1.2749999999999999</v>
      </c>
      <c r="N69" s="57">
        <f>((0.8+0.3)*2+1.1+0.3)*0.75</f>
        <v>2.7</v>
      </c>
      <c r="O69" s="9">
        <f>((1.5+0.3)*2+(1.4+0.3)*2)*0.75</f>
        <v>5.25</v>
      </c>
      <c r="P69" s="9"/>
      <c r="Q69" s="9"/>
      <c r="R69" s="56">
        <f>(1.5+0.3)*0.75</f>
        <v>1.35</v>
      </c>
      <c r="S69" s="57">
        <f>((1.2+0.3)*3+(1.3+0.3))*0.75</f>
        <v>4.5749999999999993</v>
      </c>
      <c r="T69" s="30">
        <f>(1.5+0.3)*4*0.75</f>
        <v>5.4</v>
      </c>
      <c r="U69" s="9"/>
      <c r="V69" s="9"/>
      <c r="W69" s="56">
        <f>(1.5+0.3)*0.75</f>
        <v>1.35</v>
      </c>
      <c r="X69" s="44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25">
        <f>SUM(D69:AQ69)</f>
        <v>42.824999999999996</v>
      </c>
      <c r="AS69" s="93"/>
      <c r="AT69" s="93"/>
      <c r="AU69" s="93"/>
      <c r="AV69" s="93"/>
      <c r="AW69" s="93"/>
      <c r="AX69" s="93"/>
    </row>
    <row r="70" spans="1:50" ht="30.75" customHeight="1" x14ac:dyDescent="0.25">
      <c r="A70" s="13" t="s">
        <v>45</v>
      </c>
      <c r="B70" s="6" t="s">
        <v>144</v>
      </c>
      <c r="C70" s="37" t="s">
        <v>5</v>
      </c>
      <c r="D70" s="55"/>
      <c r="E70" s="9"/>
      <c r="F70" s="9"/>
      <c r="G70" s="9">
        <v>1</v>
      </c>
      <c r="H70" s="56"/>
      <c r="I70" s="55"/>
      <c r="J70" s="9"/>
      <c r="K70" s="9">
        <v>1</v>
      </c>
      <c r="L70" s="9">
        <v>2</v>
      </c>
      <c r="M70" s="56"/>
      <c r="N70" s="55"/>
      <c r="O70" s="9"/>
      <c r="P70" s="9">
        <v>1</v>
      </c>
      <c r="Q70" s="9">
        <v>3</v>
      </c>
      <c r="R70" s="56"/>
      <c r="S70" s="55"/>
      <c r="T70" s="9"/>
      <c r="U70" s="9"/>
      <c r="V70" s="9">
        <v>1</v>
      </c>
      <c r="W70" s="56"/>
      <c r="X70" s="44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>
        <v>1</v>
      </c>
      <c r="AK70" s="9"/>
      <c r="AL70" s="9">
        <v>1</v>
      </c>
      <c r="AM70" s="9"/>
      <c r="AN70" s="9"/>
      <c r="AO70" s="9"/>
      <c r="AP70" s="9"/>
      <c r="AQ70" s="9"/>
      <c r="AR70" s="25">
        <f>SUM(D70:AQ70)</f>
        <v>11</v>
      </c>
      <c r="AS70" s="93"/>
      <c r="AT70" s="93"/>
      <c r="AU70" s="93"/>
      <c r="AV70" s="93"/>
      <c r="AW70" s="93"/>
      <c r="AX70" s="93"/>
    </row>
    <row r="71" spans="1:50" ht="29.25" customHeight="1" x14ac:dyDescent="0.25">
      <c r="A71" s="13" t="s">
        <v>46</v>
      </c>
      <c r="B71" s="6" t="s">
        <v>145</v>
      </c>
      <c r="C71" s="37" t="s">
        <v>5</v>
      </c>
      <c r="D71" s="55"/>
      <c r="E71" s="9"/>
      <c r="F71" s="9">
        <v>1</v>
      </c>
      <c r="G71" s="9"/>
      <c r="H71" s="56"/>
      <c r="I71" s="55"/>
      <c r="J71" s="9"/>
      <c r="K71" s="9"/>
      <c r="L71" s="9"/>
      <c r="M71" s="56"/>
      <c r="N71" s="55"/>
      <c r="O71" s="9"/>
      <c r="P71" s="9"/>
      <c r="Q71" s="9"/>
      <c r="R71" s="56"/>
      <c r="S71" s="55"/>
      <c r="T71" s="9"/>
      <c r="U71" s="9">
        <v>1</v>
      </c>
      <c r="V71" s="9"/>
      <c r="W71" s="56"/>
      <c r="X71" s="44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25">
        <f>SUM(D71:AQ71)</f>
        <v>2</v>
      </c>
      <c r="AS71" s="93"/>
      <c r="AT71" s="93"/>
      <c r="AU71" s="93"/>
      <c r="AV71" s="93"/>
      <c r="AW71" s="93"/>
      <c r="AX71" s="93"/>
    </row>
    <row r="72" spans="1:50" x14ac:dyDescent="0.25">
      <c r="A72" s="15" t="s">
        <v>47</v>
      </c>
      <c r="B72" s="5" t="s">
        <v>171</v>
      </c>
      <c r="C72" s="37"/>
      <c r="D72" s="55"/>
      <c r="E72" s="9"/>
      <c r="F72" s="9"/>
      <c r="G72" s="9"/>
      <c r="H72" s="56"/>
      <c r="I72" s="55"/>
      <c r="J72" s="9"/>
      <c r="K72" s="9"/>
      <c r="L72" s="9"/>
      <c r="M72" s="56"/>
      <c r="N72" s="55"/>
      <c r="O72" s="9"/>
      <c r="P72" s="9"/>
      <c r="Q72" s="9"/>
      <c r="R72" s="56"/>
      <c r="S72" s="55"/>
      <c r="T72" s="9"/>
      <c r="U72" s="9"/>
      <c r="V72" s="9"/>
      <c r="W72" s="56"/>
      <c r="X72" s="44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24"/>
      <c r="AS72" s="93"/>
      <c r="AT72" s="93"/>
      <c r="AU72" s="93"/>
      <c r="AV72" s="93"/>
      <c r="AW72" s="93"/>
      <c r="AX72" s="93"/>
    </row>
    <row r="73" spans="1:50" ht="15" customHeight="1" x14ac:dyDescent="0.25">
      <c r="A73" s="13" t="s">
        <v>48</v>
      </c>
      <c r="B73" s="6" t="s">
        <v>132</v>
      </c>
      <c r="C73" s="37" t="s">
        <v>5</v>
      </c>
      <c r="D73" s="55">
        <v>2</v>
      </c>
      <c r="E73" s="9">
        <v>1</v>
      </c>
      <c r="F73" s="9"/>
      <c r="G73" s="9"/>
      <c r="H73" s="56">
        <v>2</v>
      </c>
      <c r="I73" s="55">
        <v>1</v>
      </c>
      <c r="J73" s="9">
        <v>2</v>
      </c>
      <c r="K73" s="9"/>
      <c r="L73" s="9"/>
      <c r="M73" s="56"/>
      <c r="N73" s="55">
        <v>1</v>
      </c>
      <c r="O73" s="9">
        <v>2</v>
      </c>
      <c r="P73" s="9"/>
      <c r="Q73" s="9"/>
      <c r="R73" s="56">
        <v>2</v>
      </c>
      <c r="S73" s="55">
        <v>1</v>
      </c>
      <c r="T73" s="9">
        <v>2</v>
      </c>
      <c r="U73" s="9"/>
      <c r="V73" s="9"/>
      <c r="W73" s="56"/>
      <c r="X73" s="44"/>
      <c r="Y73" s="9">
        <v>2</v>
      </c>
      <c r="Z73" s="9"/>
      <c r="AA73" s="9"/>
      <c r="AB73" s="9"/>
      <c r="AC73" s="9">
        <v>1</v>
      </c>
      <c r="AD73" s="9"/>
      <c r="AE73" s="9">
        <v>1</v>
      </c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24">
        <f t="shared" ref="AR73:AR76" si="8">SUM(D73:AQ73)</f>
        <v>20</v>
      </c>
      <c r="AS73" s="93"/>
      <c r="AT73" s="93"/>
      <c r="AU73" s="93"/>
      <c r="AV73" s="93"/>
      <c r="AW73" s="93"/>
      <c r="AX73" s="93"/>
    </row>
    <row r="74" spans="1:50" x14ac:dyDescent="0.25">
      <c r="A74" s="13" t="s">
        <v>49</v>
      </c>
      <c r="B74" s="6" t="s">
        <v>133</v>
      </c>
      <c r="C74" s="37" t="s">
        <v>5</v>
      </c>
      <c r="D74" s="55"/>
      <c r="E74" s="9"/>
      <c r="F74" s="9"/>
      <c r="G74" s="9"/>
      <c r="H74" s="56"/>
      <c r="I74" s="55"/>
      <c r="J74" s="9"/>
      <c r="K74" s="9"/>
      <c r="L74" s="9"/>
      <c r="M74" s="56"/>
      <c r="N74" s="55"/>
      <c r="O74" s="9"/>
      <c r="P74" s="9"/>
      <c r="Q74" s="9"/>
      <c r="R74" s="56"/>
      <c r="S74" s="55"/>
      <c r="T74" s="9"/>
      <c r="U74" s="9"/>
      <c r="V74" s="9"/>
      <c r="W74" s="56"/>
      <c r="X74" s="44"/>
      <c r="Y74" s="9"/>
      <c r="Z74" s="9"/>
      <c r="AA74" s="9"/>
      <c r="AB74" s="9"/>
      <c r="AC74" s="9"/>
      <c r="AD74" s="9"/>
      <c r="AE74" s="9"/>
      <c r="AF74" s="9"/>
      <c r="AG74" s="9"/>
      <c r="AH74" s="9">
        <v>1</v>
      </c>
      <c r="AI74" s="9"/>
      <c r="AJ74" s="9"/>
      <c r="AK74" s="9">
        <v>1</v>
      </c>
      <c r="AL74" s="9"/>
      <c r="AM74" s="9"/>
      <c r="AN74" s="9"/>
      <c r="AO74" s="9"/>
      <c r="AP74" s="9"/>
      <c r="AQ74" s="9"/>
      <c r="AR74" s="24">
        <f t="shared" si="8"/>
        <v>2</v>
      </c>
      <c r="AS74" s="93"/>
      <c r="AT74" s="93"/>
      <c r="AU74" s="93"/>
      <c r="AV74" s="93"/>
      <c r="AW74" s="93"/>
      <c r="AX74" s="93"/>
    </row>
    <row r="75" spans="1:50" x14ac:dyDescent="0.25">
      <c r="A75" s="13" t="s">
        <v>50</v>
      </c>
      <c r="B75" s="6" t="s">
        <v>134</v>
      </c>
      <c r="C75" s="37" t="s">
        <v>5</v>
      </c>
      <c r="D75" s="55">
        <v>3</v>
      </c>
      <c r="E75" s="9">
        <v>2</v>
      </c>
      <c r="F75" s="9"/>
      <c r="G75" s="9"/>
      <c r="H75" s="56"/>
      <c r="I75" s="55">
        <v>1</v>
      </c>
      <c r="J75" s="9">
        <v>2</v>
      </c>
      <c r="K75" s="9"/>
      <c r="L75" s="9"/>
      <c r="M75" s="56">
        <v>1</v>
      </c>
      <c r="N75" s="55">
        <v>1</v>
      </c>
      <c r="O75" s="9">
        <v>2</v>
      </c>
      <c r="P75" s="9"/>
      <c r="Q75" s="9"/>
      <c r="R75" s="56"/>
      <c r="S75" s="55">
        <v>3</v>
      </c>
      <c r="T75" s="9">
        <v>2</v>
      </c>
      <c r="U75" s="9"/>
      <c r="V75" s="9"/>
      <c r="W75" s="56">
        <v>1</v>
      </c>
      <c r="X75" s="44">
        <v>1</v>
      </c>
      <c r="Y75" s="9"/>
      <c r="Z75" s="9">
        <v>1</v>
      </c>
      <c r="AA75" s="9">
        <v>1</v>
      </c>
      <c r="AB75" s="9">
        <v>1</v>
      </c>
      <c r="AC75" s="9">
        <v>1</v>
      </c>
      <c r="AD75" s="9">
        <v>1</v>
      </c>
      <c r="AE75" s="9">
        <v>1</v>
      </c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24">
        <f t="shared" si="8"/>
        <v>25</v>
      </c>
      <c r="AS75" s="93"/>
      <c r="AT75" s="93"/>
      <c r="AU75" s="93"/>
      <c r="AV75" s="93"/>
      <c r="AW75" s="93"/>
      <c r="AX75" s="93"/>
    </row>
    <row r="76" spans="1:50" x14ac:dyDescent="0.25">
      <c r="A76" s="13" t="s">
        <v>51</v>
      </c>
      <c r="B76" s="6" t="s">
        <v>135</v>
      </c>
      <c r="C76" s="37" t="s">
        <v>5</v>
      </c>
      <c r="D76" s="55"/>
      <c r="E76" s="9"/>
      <c r="F76" s="9"/>
      <c r="G76" s="9"/>
      <c r="H76" s="56"/>
      <c r="I76" s="55"/>
      <c r="J76" s="9"/>
      <c r="K76" s="9"/>
      <c r="L76" s="9"/>
      <c r="M76" s="56"/>
      <c r="N76" s="55"/>
      <c r="O76" s="9"/>
      <c r="P76" s="9"/>
      <c r="Q76" s="9"/>
      <c r="R76" s="56"/>
      <c r="S76" s="55"/>
      <c r="T76" s="9"/>
      <c r="U76" s="9"/>
      <c r="V76" s="9"/>
      <c r="W76" s="56"/>
      <c r="X76" s="44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>
        <v>1</v>
      </c>
      <c r="AL76" s="9"/>
      <c r="AM76" s="9"/>
      <c r="AN76" s="9"/>
      <c r="AO76" s="9"/>
      <c r="AP76" s="9"/>
      <c r="AQ76" s="9"/>
      <c r="AR76" s="24">
        <f t="shared" si="8"/>
        <v>1</v>
      </c>
      <c r="AS76" s="93"/>
      <c r="AT76" s="93"/>
      <c r="AU76" s="93"/>
      <c r="AV76" s="93"/>
      <c r="AW76" s="93"/>
      <c r="AX76" s="93"/>
    </row>
    <row r="77" spans="1:50" x14ac:dyDescent="0.25">
      <c r="A77" s="91" t="s">
        <v>52</v>
      </c>
      <c r="B77" s="5" t="s">
        <v>172</v>
      </c>
      <c r="C77" s="4" t="s">
        <v>3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2"/>
      <c r="AR77" s="12"/>
      <c r="AS77" s="93"/>
      <c r="AT77" s="93"/>
      <c r="AU77" s="93"/>
      <c r="AV77" s="93"/>
      <c r="AW77" s="93"/>
      <c r="AX77" s="93"/>
    </row>
    <row r="78" spans="1:50" ht="78" customHeight="1" x14ac:dyDescent="0.25">
      <c r="A78" s="13" t="s">
        <v>53</v>
      </c>
      <c r="B78" s="6" t="s">
        <v>147</v>
      </c>
      <c r="C78" s="37" t="s">
        <v>148</v>
      </c>
      <c r="D78" s="57"/>
      <c r="E78" s="30"/>
      <c r="F78" s="9"/>
      <c r="G78" s="9">
        <f>3.3+1.3*4+1.3+1.79</f>
        <v>11.59</v>
      </c>
      <c r="H78" s="56"/>
      <c r="I78" s="57"/>
      <c r="J78" s="30"/>
      <c r="K78" s="9"/>
      <c r="L78" s="9">
        <f>2.72+1.12*2+0.36+1.64+1.12+1.24+2</f>
        <v>11.320000000000002</v>
      </c>
      <c r="M78" s="58"/>
      <c r="N78" s="57"/>
      <c r="O78" s="9"/>
      <c r="P78" s="9"/>
      <c r="Q78" s="9">
        <f>1.64+0.36+1.12+1.24+2+2.72+1.12</f>
        <v>10.199999999999999</v>
      </c>
      <c r="R78" s="56"/>
      <c r="S78" s="57"/>
      <c r="T78" s="30"/>
      <c r="U78" s="9"/>
      <c r="V78" s="9">
        <f>3.22+1.22*4+1.8+1.31</f>
        <v>11.21</v>
      </c>
      <c r="W78" s="56"/>
      <c r="X78" s="44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>
        <v>1.84</v>
      </c>
      <c r="AM78" s="9"/>
      <c r="AN78" s="9"/>
      <c r="AO78" s="9"/>
      <c r="AP78" s="9"/>
      <c r="AQ78" s="9"/>
      <c r="AR78" s="25">
        <f>SUM(D78:AQ78)</f>
        <v>46.160000000000004</v>
      </c>
      <c r="AS78" s="93"/>
      <c r="AT78" s="93"/>
      <c r="AU78" s="93"/>
      <c r="AV78" s="93"/>
      <c r="AW78" s="93"/>
      <c r="AX78" s="93"/>
    </row>
    <row r="80" spans="1:50" x14ac:dyDescent="0.25">
      <c r="B80" s="2" t="s">
        <v>173</v>
      </c>
    </row>
  </sheetData>
  <mergeCells count="21">
    <mergeCell ref="A11:A13"/>
    <mergeCell ref="B11:B13"/>
    <mergeCell ref="C11:C13"/>
    <mergeCell ref="AR11:AR13"/>
    <mergeCell ref="A1:B1"/>
    <mergeCell ref="C1:H1"/>
    <mergeCell ref="I1:O1"/>
    <mergeCell ref="D12:H12"/>
    <mergeCell ref="I12:M12"/>
    <mergeCell ref="N12:R12"/>
    <mergeCell ref="S12:W12"/>
    <mergeCell ref="X12:AQ12"/>
    <mergeCell ref="A7:AW7"/>
    <mergeCell ref="A8:AW8"/>
    <mergeCell ref="A9:AW9"/>
    <mergeCell ref="AS11:AS13"/>
    <mergeCell ref="AT11:AT13"/>
    <mergeCell ref="AU11:AU13"/>
    <mergeCell ref="AV11:AV13"/>
    <mergeCell ref="AW11:AW13"/>
    <mergeCell ref="AX11:AX13"/>
  </mergeCells>
  <phoneticPr fontId="6" type="noConversion"/>
  <pageMargins left="0.11811023622047245" right="0.11811023622047245" top="0.15748031496062992" bottom="0.15748031496062992" header="0.31496062992125984" footer="0.31496062992125984"/>
  <pageSetup paperSize="8" scale="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ДОУ 6 кв</vt:lpstr>
      <vt:lpstr>'ДОУ 6 кв'!Область_печати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IgnatevaAO</dc:creator>
  <cp:lastModifiedBy>LahtionovDV</cp:lastModifiedBy>
  <cp:lastPrinted>2026-02-27T07:54:25Z</cp:lastPrinted>
  <dcterms:created xsi:type="dcterms:W3CDTF">2015-06-05T18:19:34Z</dcterms:created>
  <dcterms:modified xsi:type="dcterms:W3CDTF">2026-03-05T14:35:01Z</dcterms:modified>
</cp:coreProperties>
</file>